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Transferência de Tecnologia\Ações de TT\Cadeias produtivas de Mato Grosso\CP Piscicultura\Turma de 2017\Módulo 4 - Gestão da propriedade\Palestras e planilhas\"/>
    </mc:Choice>
  </mc:AlternateContent>
  <bookViews>
    <workbookView xWindow="0" yWindow="0" windowWidth="28800" windowHeight="12435" tabRatio="950" activeTab="2"/>
  </bookViews>
  <sheets>
    <sheet name="Volume de terra" sheetId="8" r:id="rId1"/>
    <sheet name="Investimento físico" sheetId="1" r:id="rId2"/>
    <sheet name="Planejamento" sheetId="6" r:id="rId3"/>
    <sheet name="Custos e receitas" sheetId="5" r:id="rId4"/>
    <sheet name="Fluxo de caixa" sheetId="4" r:id="rId5"/>
    <sheet name="An. sensibilidade" sheetId="7" r:id="rId6"/>
  </sheets>
  <calcPr calcId="152511"/>
</workbook>
</file>

<file path=xl/calcChain.xml><?xml version="1.0" encoding="utf-8"?>
<calcChain xmlns="http://schemas.openxmlformats.org/spreadsheetml/2006/main">
  <c r="F19" i="4" l="1"/>
  <c r="E19" i="4"/>
  <c r="D19" i="4"/>
  <c r="B50" i="5" l="1"/>
  <c r="B49" i="5"/>
  <c r="L29" i="6"/>
  <c r="G11" i="1"/>
  <c r="H11" i="1" s="1"/>
  <c r="I11" i="1" s="1"/>
  <c r="D11" i="1"/>
  <c r="E11" i="1" s="1"/>
  <c r="C11" i="1"/>
  <c r="D2" i="1"/>
  <c r="C20" i="6" l="1"/>
  <c r="B20" i="6"/>
  <c r="E18" i="5"/>
  <c r="A48" i="5"/>
  <c r="B25" i="4"/>
  <c r="D3" i="1"/>
  <c r="E2" i="7"/>
  <c r="C26" i="4" l="1"/>
  <c r="C25" i="4"/>
  <c r="D25" i="4" l="1"/>
  <c r="S13" i="4"/>
  <c r="T12" i="4"/>
  <c r="T11" i="4" l="1"/>
  <c r="T10" i="4"/>
  <c r="T9" i="4" l="1"/>
  <c r="T8" i="4" l="1"/>
  <c r="T7" i="4" l="1"/>
  <c r="T6" i="4" l="1"/>
  <c r="T5" i="4" l="1"/>
  <c r="T4" i="4"/>
  <c r="T3" i="4" l="1"/>
  <c r="A47" i="5" l="1"/>
  <c r="A46" i="5"/>
  <c r="A45" i="5"/>
  <c r="A44" i="5"/>
  <c r="A43" i="5"/>
  <c r="A42" i="5"/>
  <c r="A41" i="5"/>
  <c r="A40" i="5"/>
  <c r="E6" i="5" l="1"/>
  <c r="B4" i="5"/>
  <c r="E3" i="5"/>
  <c r="I29" i="6" l="1"/>
  <c r="H29" i="6"/>
  <c r="G29" i="6"/>
  <c r="F29" i="6"/>
  <c r="E29" i="6"/>
  <c r="D29" i="6"/>
  <c r="C29" i="6"/>
  <c r="B29" i="6"/>
  <c r="C24" i="6"/>
  <c r="C23" i="6" l="1"/>
  <c r="C19" i="6" l="1"/>
  <c r="B19" i="6"/>
  <c r="E12" i="6" l="1"/>
  <c r="I10" i="6"/>
  <c r="H10" i="6"/>
  <c r="C9" i="6"/>
  <c r="B9" i="6"/>
  <c r="B5" i="6"/>
  <c r="C3" i="6"/>
  <c r="C5" i="6" s="1"/>
  <c r="C10" i="6" l="1"/>
  <c r="E14" i="1"/>
  <c r="E13" i="1"/>
  <c r="E12" i="1"/>
  <c r="E10" i="1"/>
  <c r="E9" i="1"/>
  <c r="E8" i="1"/>
  <c r="E7" i="1"/>
  <c r="D6" i="1"/>
  <c r="E5" i="1"/>
  <c r="D4" i="1"/>
  <c r="E4" i="1" s="1"/>
  <c r="E3" i="1"/>
  <c r="G3" i="1" s="1"/>
  <c r="H3" i="1" s="1"/>
  <c r="G29" i="8"/>
  <c r="G22" i="8"/>
  <c r="L11" i="8"/>
  <c r="D11" i="8"/>
  <c r="L10" i="8"/>
  <c r="L12" i="8" s="1"/>
  <c r="D12" i="8" s="1"/>
  <c r="D13" i="8" s="1"/>
  <c r="D10" i="8"/>
  <c r="G4" i="8"/>
  <c r="B10" i="6" l="1"/>
  <c r="C7" i="6"/>
  <c r="E2" i="1"/>
  <c r="E6" i="1"/>
  <c r="B7" i="6" l="1"/>
  <c r="C8" i="6"/>
  <c r="E15" i="1"/>
  <c r="B8" i="6" l="1"/>
  <c r="B15" i="4"/>
  <c r="B24" i="4" l="1"/>
  <c r="B27" i="4" l="1"/>
  <c r="D26" i="4" s="1"/>
  <c r="B36" i="4" l="1"/>
  <c r="B33" i="4"/>
  <c r="B37" i="4"/>
  <c r="B38" i="4"/>
  <c r="B34" i="4"/>
  <c r="B35" i="4"/>
  <c r="B32" i="4"/>
  <c r="B31" i="4"/>
  <c r="I3" i="1"/>
  <c r="G4" i="1"/>
  <c r="G6" i="1"/>
  <c r="H6" i="1" s="1"/>
  <c r="I6" i="1" s="1"/>
  <c r="H4" i="1"/>
  <c r="I4" i="1" s="1"/>
  <c r="D7" i="5"/>
  <c r="E7" i="5" s="1"/>
  <c r="B44" i="5" s="1"/>
  <c r="D14" i="5"/>
  <c r="E14" i="5" s="1"/>
  <c r="D27" i="5"/>
  <c r="E27" i="5" s="1"/>
  <c r="E4" i="5"/>
  <c r="B41" i="5" s="1"/>
  <c r="B40" i="5"/>
  <c r="B43" i="5"/>
  <c r="B29" i="4"/>
  <c r="B30" i="4"/>
  <c r="B47" i="5" l="1"/>
  <c r="G5" i="1"/>
  <c r="H5" i="1" s="1"/>
  <c r="G7" i="1"/>
  <c r="H7" i="1" s="1"/>
  <c r="I7" i="1" s="1"/>
  <c r="G8" i="1"/>
  <c r="H8" i="1" s="1"/>
  <c r="I8" i="1" s="1"/>
  <c r="G9" i="1"/>
  <c r="H9" i="1" s="1"/>
  <c r="I9" i="1" s="1"/>
  <c r="G10" i="1"/>
  <c r="H10" i="1" s="1"/>
  <c r="I10" i="1" s="1"/>
  <c r="G12" i="1"/>
  <c r="H12" i="1" s="1"/>
  <c r="I12" i="1" s="1"/>
  <c r="G13" i="1"/>
  <c r="H13" i="1" s="1"/>
  <c r="I13" i="1" s="1"/>
  <c r="I5" i="1" l="1"/>
  <c r="G14" i="1"/>
  <c r="G15" i="1" s="1"/>
  <c r="H14" i="1"/>
  <c r="H15" i="1" s="1"/>
  <c r="I14" i="1" l="1"/>
  <c r="I15" i="1" s="1"/>
  <c r="C5" i="5" s="1"/>
  <c r="E5" i="5" s="1"/>
  <c r="G3" i="4" l="1"/>
  <c r="G4" i="4" s="1"/>
  <c r="G5" i="4" s="1"/>
  <c r="G6" i="4" s="1"/>
  <c r="G7" i="4" s="1"/>
  <c r="G8" i="4" s="1"/>
  <c r="G9" i="4" s="1"/>
  <c r="G10" i="4" s="1"/>
  <c r="G11" i="4" s="1"/>
  <c r="G12" i="4" s="1"/>
  <c r="B42" i="5"/>
  <c r="E8" i="5"/>
  <c r="I3" i="6"/>
  <c r="I4" i="6" s="1"/>
  <c r="K4" i="6" s="1"/>
  <c r="E31" i="5"/>
  <c r="C16" i="6"/>
  <c r="C17" i="6" s="1"/>
  <c r="B16" i="6"/>
  <c r="B18" i="6" s="1"/>
  <c r="C18" i="6" l="1"/>
  <c r="B17" i="6"/>
  <c r="H5" i="6"/>
  <c r="D13" i="5" s="1"/>
  <c r="E13" i="5" s="1"/>
  <c r="I5" i="6"/>
  <c r="D26" i="5" s="1"/>
  <c r="E26" i="5" s="1"/>
  <c r="D15" i="5" l="1"/>
  <c r="E15" i="5" s="1"/>
  <c r="B19" i="5"/>
  <c r="H9" i="6"/>
  <c r="D25" i="5"/>
  <c r="D28" i="5"/>
  <c r="E28" i="5" s="1"/>
  <c r="I9" i="6"/>
  <c r="I11" i="6" s="1"/>
  <c r="P29" i="6" s="1"/>
  <c r="B48" i="5" l="1"/>
  <c r="Z29" i="6"/>
  <c r="I13" i="6"/>
  <c r="I14" i="6"/>
  <c r="H14" i="6"/>
  <c r="H11" i="6"/>
  <c r="H13" i="6"/>
  <c r="D12" i="5" s="1"/>
  <c r="E12" i="5" s="1"/>
  <c r="R29" i="6" l="1"/>
  <c r="T29" i="6"/>
  <c r="V29" i="6"/>
  <c r="X29" i="6"/>
  <c r="K29" i="6"/>
  <c r="M29" i="6"/>
  <c r="O29" i="6"/>
  <c r="Q29" i="6"/>
  <c r="S29" i="6"/>
  <c r="U29" i="6"/>
  <c r="W29" i="6"/>
  <c r="Y29" i="6"/>
  <c r="J29" i="6"/>
  <c r="N29" i="6"/>
  <c r="E16" i="5"/>
  <c r="B45" i="5"/>
  <c r="B46" i="5"/>
  <c r="B20" i="5" l="1"/>
  <c r="B21" i="5" s="1"/>
  <c r="E21" i="5" s="1"/>
  <c r="C25" i="5" s="1"/>
  <c r="E25" i="5" s="1"/>
  <c r="E29" i="5" s="1"/>
  <c r="B33" i="5" s="1"/>
  <c r="E3" i="4" s="1"/>
  <c r="E4" i="4" s="1"/>
  <c r="E5" i="4" s="1"/>
  <c r="E6" i="4" s="1"/>
  <c r="E7" i="4" s="1"/>
  <c r="E8" i="4" s="1"/>
  <c r="E9" i="4" s="1"/>
  <c r="E10" i="4" s="1"/>
  <c r="E11" i="4" s="1"/>
  <c r="E12" i="4" s="1"/>
  <c r="C48" i="5"/>
  <c r="O21" i="6"/>
  <c r="P21" i="6"/>
  <c r="C46" i="5" l="1"/>
  <c r="B16" i="4"/>
  <c r="C41" i="5"/>
  <c r="C43" i="5"/>
  <c r="C47" i="5"/>
  <c r="C40" i="5"/>
  <c r="C42" i="5"/>
  <c r="C44" i="5"/>
  <c r="B32" i="5"/>
  <c r="B34" i="5" s="1"/>
  <c r="E34" i="5" s="1"/>
  <c r="B3" i="7"/>
  <c r="C45" i="5"/>
  <c r="C49" i="5" l="1"/>
  <c r="C3" i="7"/>
  <c r="B4" i="7"/>
  <c r="B17" i="4"/>
  <c r="M2" i="4" s="1"/>
  <c r="L3" i="4" s="1"/>
  <c r="C24" i="4"/>
  <c r="D38" i="5"/>
  <c r="D48" i="5" s="1"/>
  <c r="C2" i="7"/>
  <c r="B3" i="4"/>
  <c r="D3" i="4" s="1"/>
  <c r="D24" i="4" l="1"/>
  <c r="N2" i="4"/>
  <c r="D3" i="7"/>
  <c r="D4" i="7" s="1"/>
  <c r="C4" i="7"/>
  <c r="C27" i="4"/>
  <c r="C30" i="4" s="1"/>
  <c r="C29" i="4"/>
  <c r="D41" i="5"/>
  <c r="D43" i="5"/>
  <c r="D47" i="5"/>
  <c r="B4" i="4"/>
  <c r="D4" i="4" s="1"/>
  <c r="D40" i="5"/>
  <c r="D42" i="5"/>
  <c r="D44" i="5"/>
  <c r="D46" i="5"/>
  <c r="D45" i="5"/>
  <c r="L4" i="4"/>
  <c r="M4" i="4" s="1"/>
  <c r="D49" i="5" l="1"/>
  <c r="C37" i="4"/>
  <c r="C38" i="4"/>
  <c r="C35" i="4"/>
  <c r="C32" i="4"/>
  <c r="D27" i="4"/>
  <c r="D30" i="4" s="1"/>
  <c r="D29" i="4"/>
  <c r="F3" i="4" s="1"/>
  <c r="L5" i="4"/>
  <c r="B5" i="4"/>
  <c r="D5" i="4" s="1"/>
  <c r="F4" i="4"/>
  <c r="C5" i="7"/>
  <c r="H3" i="7"/>
  <c r="I3" i="7" s="1"/>
  <c r="J3" i="7" s="1"/>
  <c r="U3" i="4"/>
  <c r="V3" i="4" s="1"/>
  <c r="W3" i="4" s="1"/>
  <c r="C31" i="4"/>
  <c r="C33" i="4"/>
  <c r="C36" i="4"/>
  <c r="C34" i="4"/>
  <c r="D31" i="4" l="1"/>
  <c r="D37" i="4"/>
  <c r="D35" i="4"/>
  <c r="D33" i="4"/>
  <c r="H4" i="4"/>
  <c r="I4" i="4" s="1"/>
  <c r="J4" i="4" s="1"/>
  <c r="K4" i="4" s="1"/>
  <c r="N4" i="4" s="1"/>
  <c r="L6" i="4"/>
  <c r="B5" i="7"/>
  <c r="H17" i="7"/>
  <c r="I17" i="7" s="1"/>
  <c r="J17" i="7" s="1"/>
  <c r="D5" i="7"/>
  <c r="B6" i="4"/>
  <c r="D6" i="4" s="1"/>
  <c r="F5" i="4"/>
  <c r="H3" i="4"/>
  <c r="I3" i="4" s="1"/>
  <c r="J3" i="4" s="1"/>
  <c r="K3" i="4" s="1"/>
  <c r="N3" i="4" s="1"/>
  <c r="M5" i="4"/>
  <c r="D38" i="4"/>
  <c r="D36" i="4"/>
  <c r="D34" i="4"/>
  <c r="D32" i="4"/>
  <c r="C7" i="7" l="1"/>
  <c r="U5" i="4"/>
  <c r="V5" i="4" s="1"/>
  <c r="U4" i="4"/>
  <c r="V4" i="4" s="1"/>
  <c r="W4" i="4" s="1"/>
  <c r="C6" i="7"/>
  <c r="H5" i="4"/>
  <c r="I5" i="4" s="1"/>
  <c r="J5" i="4" s="1"/>
  <c r="K5" i="4" s="1"/>
  <c r="N5" i="4" s="1"/>
  <c r="H31" i="7"/>
  <c r="I31" i="7" s="1"/>
  <c r="J31" i="7" s="1"/>
  <c r="L7" i="4"/>
  <c r="B7" i="4"/>
  <c r="D7" i="4" s="1"/>
  <c r="F6" i="4"/>
  <c r="M6" i="4"/>
  <c r="U6" i="4" l="1"/>
  <c r="V6" i="4" s="1"/>
  <c r="C8" i="7"/>
  <c r="B8" i="4"/>
  <c r="D8" i="4" s="1"/>
  <c r="F7" i="4"/>
  <c r="L8" i="4"/>
  <c r="M8" i="4" s="1"/>
  <c r="H18" i="7"/>
  <c r="I18" i="7" s="1"/>
  <c r="J18" i="7" s="1"/>
  <c r="D6" i="7"/>
  <c r="B6" i="7"/>
  <c r="W5" i="4"/>
  <c r="X4" i="4" s="1"/>
  <c r="X3" i="4"/>
  <c r="H19" i="7"/>
  <c r="I19" i="7" s="1"/>
  <c r="B7" i="7"/>
  <c r="H5" i="7" s="1"/>
  <c r="I5" i="7" s="1"/>
  <c r="D7" i="7"/>
  <c r="H33" i="7" s="1"/>
  <c r="I33" i="7" s="1"/>
  <c r="H6" i="4"/>
  <c r="I6" i="4" s="1"/>
  <c r="J6" i="4" s="1"/>
  <c r="K6" i="4" s="1"/>
  <c r="N6" i="4" s="1"/>
  <c r="M7" i="4"/>
  <c r="C9" i="7" l="1"/>
  <c r="U7" i="4"/>
  <c r="V7" i="4" s="1"/>
  <c r="H7" i="4"/>
  <c r="I7" i="4" s="1"/>
  <c r="J7" i="4" s="1"/>
  <c r="K7" i="4" s="1"/>
  <c r="N7" i="4" s="1"/>
  <c r="H4" i="7"/>
  <c r="I4" i="7" s="1"/>
  <c r="J4" i="7" s="1"/>
  <c r="W6" i="4"/>
  <c r="H32" i="7"/>
  <c r="I32" i="7" s="1"/>
  <c r="J32" i="7" s="1"/>
  <c r="J19" i="7"/>
  <c r="K18" i="7" s="1"/>
  <c r="K17" i="7"/>
  <c r="L9" i="4"/>
  <c r="B9" i="4"/>
  <c r="D9" i="4" s="1"/>
  <c r="F8" i="4"/>
  <c r="H20" i="7"/>
  <c r="I20" i="7" s="1"/>
  <c r="D8" i="7"/>
  <c r="H34" i="7" s="1"/>
  <c r="I34" i="7" s="1"/>
  <c r="B8" i="7"/>
  <c r="H6" i="7" s="1"/>
  <c r="I6" i="7" s="1"/>
  <c r="U8" i="4" l="1"/>
  <c r="V8" i="4" s="1"/>
  <c r="C10" i="7"/>
  <c r="J33" i="7"/>
  <c r="K32" i="7" s="1"/>
  <c r="K31" i="7"/>
  <c r="W7" i="4"/>
  <c r="X6" i="4" s="1"/>
  <c r="H21" i="7"/>
  <c r="I21" i="7" s="1"/>
  <c r="B9" i="7"/>
  <c r="H7" i="7" s="1"/>
  <c r="I7" i="7" s="1"/>
  <c r="D9" i="7"/>
  <c r="H35" i="7" s="1"/>
  <c r="I35" i="7" s="1"/>
  <c r="H8" i="4"/>
  <c r="I8" i="4" s="1"/>
  <c r="J8" i="4" s="1"/>
  <c r="K8" i="4" s="1"/>
  <c r="N8" i="4" s="1"/>
  <c r="L10" i="4"/>
  <c r="M10" i="4" s="1"/>
  <c r="B10" i="4"/>
  <c r="D10" i="4" s="1"/>
  <c r="F9" i="4"/>
  <c r="J20" i="7"/>
  <c r="K19" i="7" s="1"/>
  <c r="J5" i="7"/>
  <c r="K4" i="7" s="1"/>
  <c r="K3" i="7"/>
  <c r="M9" i="4"/>
  <c r="X5" i="4"/>
  <c r="J6" i="7" l="1"/>
  <c r="H9" i="4"/>
  <c r="I9" i="4" s="1"/>
  <c r="J9" i="4" s="1"/>
  <c r="K9" i="4" s="1"/>
  <c r="N9" i="4" s="1"/>
  <c r="L11" i="4"/>
  <c r="W8" i="4"/>
  <c r="J34" i="7"/>
  <c r="J21" i="7"/>
  <c r="K20" i="7" s="1"/>
  <c r="B11" i="4"/>
  <c r="D11" i="4" s="1"/>
  <c r="F10" i="4"/>
  <c r="C11" i="7"/>
  <c r="U9" i="4"/>
  <c r="V9" i="4" s="1"/>
  <c r="H22" i="7"/>
  <c r="I22" i="7" s="1"/>
  <c r="D10" i="7"/>
  <c r="B10" i="7"/>
  <c r="U10" i="4" l="1"/>
  <c r="V10" i="4" s="1"/>
  <c r="C12" i="7"/>
  <c r="H8" i="7"/>
  <c r="I8" i="7" s="1"/>
  <c r="J35" i="7"/>
  <c r="W9" i="4"/>
  <c r="X8" i="4" s="1"/>
  <c r="M12" i="4"/>
  <c r="L12" i="4"/>
  <c r="J7" i="7"/>
  <c r="K6" i="7" s="1"/>
  <c r="H23" i="7"/>
  <c r="I23" i="7" s="1"/>
  <c r="B11" i="7"/>
  <c r="H9" i="7" s="1"/>
  <c r="I9" i="7" s="1"/>
  <c r="D11" i="7"/>
  <c r="H37" i="7" s="1"/>
  <c r="I37" i="7" s="1"/>
  <c r="B12" i="4"/>
  <c r="D12" i="4" s="1"/>
  <c r="F11" i="4"/>
  <c r="H36" i="7"/>
  <c r="I36" i="7" s="1"/>
  <c r="H10" i="4"/>
  <c r="I10" i="4" s="1"/>
  <c r="J10" i="4" s="1"/>
  <c r="K10" i="4" s="1"/>
  <c r="N10" i="4" s="1"/>
  <c r="J22" i="7"/>
  <c r="K33" i="7"/>
  <c r="X7" i="4"/>
  <c r="M11" i="4"/>
  <c r="K5" i="7"/>
  <c r="C13" i="7" l="1"/>
  <c r="U11" i="4"/>
  <c r="V11" i="4" s="1"/>
  <c r="J23" i="7"/>
  <c r="F12" i="4"/>
  <c r="J36" i="7"/>
  <c r="H11" i="4"/>
  <c r="I11" i="4" s="1"/>
  <c r="J11" i="4" s="1"/>
  <c r="K11" i="4" s="1"/>
  <c r="N11" i="4" s="1"/>
  <c r="J8" i="7"/>
  <c r="K7" i="7" s="1"/>
  <c r="W10" i="4"/>
  <c r="X9" i="4" s="1"/>
  <c r="H24" i="7"/>
  <c r="I24" i="7" s="1"/>
  <c r="D12" i="7"/>
  <c r="H38" i="7" s="1"/>
  <c r="I38" i="7" s="1"/>
  <c r="B12" i="7"/>
  <c r="K21" i="7"/>
  <c r="K34" i="7"/>
  <c r="H12" i="4" l="1"/>
  <c r="I12" i="4" s="1"/>
  <c r="J12" i="4" s="1"/>
  <c r="K12" i="4" s="1"/>
  <c r="N12" i="4" s="1"/>
  <c r="U12" i="4"/>
  <c r="V12" i="4" s="1"/>
  <c r="C14" i="7"/>
  <c r="J37" i="7"/>
  <c r="K36" i="7" s="1"/>
  <c r="J24" i="7"/>
  <c r="K23" i="7" s="1"/>
  <c r="H25" i="7"/>
  <c r="I25" i="7" s="1"/>
  <c r="B13" i="7"/>
  <c r="H11" i="7" s="1"/>
  <c r="I11" i="7" s="1"/>
  <c r="D13" i="7"/>
  <c r="H39" i="7" s="1"/>
  <c r="I39" i="7" s="1"/>
  <c r="H10" i="7"/>
  <c r="I10" i="7" s="1"/>
  <c r="W11" i="4"/>
  <c r="X10" i="4" s="1"/>
  <c r="J9" i="7"/>
  <c r="K8" i="7" s="1"/>
  <c r="K35" i="7"/>
  <c r="K22" i="7"/>
  <c r="C15" i="7" l="1"/>
  <c r="T13" i="4"/>
  <c r="U13" i="4" s="1"/>
  <c r="D16" i="4"/>
  <c r="D15" i="4"/>
  <c r="H26" i="7"/>
  <c r="I26" i="7" s="1"/>
  <c r="D14" i="7"/>
  <c r="H40" i="7" s="1"/>
  <c r="I40" i="7" s="1"/>
  <c r="B14" i="7"/>
  <c r="H12" i="7" s="1"/>
  <c r="I12" i="7" s="1"/>
  <c r="J10" i="7"/>
  <c r="K9" i="7" s="1"/>
  <c r="W12" i="4"/>
  <c r="X11" i="4" s="1"/>
  <c r="J25" i="7"/>
  <c r="K24" i="7" s="1"/>
  <c r="J38" i="7"/>
  <c r="K37" i="7" s="1"/>
  <c r="B15" i="7" l="1"/>
  <c r="H27" i="7"/>
  <c r="I27" i="7" s="1"/>
  <c r="D15" i="7"/>
  <c r="C17" i="7"/>
  <c r="C16" i="7"/>
  <c r="J39" i="7"/>
  <c r="J26" i="7"/>
  <c r="V13" i="4"/>
  <c r="X12" i="4" s="1"/>
  <c r="W13" i="4" s="1"/>
  <c r="D17" i="4" s="1"/>
  <c r="J11" i="7"/>
  <c r="K10" i="7" s="1"/>
  <c r="J27" i="7" l="1"/>
  <c r="K26" i="7" s="1"/>
  <c r="J40" i="7"/>
  <c r="J12" i="7"/>
  <c r="H41" i="7"/>
  <c r="I41" i="7" s="1"/>
  <c r="D17" i="7"/>
  <c r="D16" i="7"/>
  <c r="H13" i="7"/>
  <c r="I13" i="7" s="1"/>
  <c r="B17" i="7"/>
  <c r="B16" i="7"/>
  <c r="K25" i="7"/>
  <c r="K38" i="7"/>
  <c r="J13" i="7" l="1"/>
  <c r="K12" i="7" s="1"/>
  <c r="J41" i="7"/>
  <c r="K40" i="7" s="1"/>
  <c r="K27" i="7"/>
  <c r="C18" i="7" s="1"/>
  <c r="K11" i="7"/>
  <c r="K39" i="7"/>
  <c r="K13" i="7" l="1"/>
  <c r="B18" i="7" s="1"/>
  <c r="K41" i="7"/>
  <c r="D18" i="7" s="1"/>
  <c r="J2" i="8"/>
  <c r="E6" i="8"/>
  <c r="I6" i="8"/>
  <c r="J1" i="8"/>
  <c r="J3" i="8"/>
  <c r="J27" i="8"/>
  <c r="E22" i="8"/>
  <c r="I22" i="8"/>
  <c r="J26" i="8"/>
  <c r="J28" i="8"/>
  <c r="L13" i="8"/>
  <c r="E32" i="8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</calcChain>
</file>

<file path=xl/sharedStrings.xml><?xml version="1.0" encoding="utf-8"?>
<sst xmlns="http://schemas.openxmlformats.org/spreadsheetml/2006/main" count="260" uniqueCount="153">
  <si>
    <t>Item</t>
  </si>
  <si>
    <t>Casa de ração</t>
  </si>
  <si>
    <t>unidade</t>
  </si>
  <si>
    <t>und</t>
  </si>
  <si>
    <t>CAA</t>
  </si>
  <si>
    <t>Pi (g)</t>
  </si>
  <si>
    <t>Pf (g)</t>
  </si>
  <si>
    <t>R$/und</t>
  </si>
  <si>
    <t>Quant.</t>
  </si>
  <si>
    <t>Subtotal</t>
  </si>
  <si>
    <t>FASE1</t>
  </si>
  <si>
    <t>FASE2</t>
  </si>
  <si>
    <t>GP (g)</t>
  </si>
  <si>
    <t>Ciclos/ano</t>
  </si>
  <si>
    <t>Biom. Inicial (kg)</t>
  </si>
  <si>
    <t>Biom. Final (kg)</t>
  </si>
  <si>
    <t>Sobrevivência</t>
  </si>
  <si>
    <t>Ganho biomassa</t>
  </si>
  <si>
    <t>Pro-labore</t>
  </si>
  <si>
    <t>Mão de obra</t>
  </si>
  <si>
    <t>Und.</t>
  </si>
  <si>
    <t>Custo/und</t>
  </si>
  <si>
    <t>DMS</t>
  </si>
  <si>
    <t>Eletricidade</t>
  </si>
  <si>
    <t>Balança 3kg (0,05g)</t>
  </si>
  <si>
    <t>V. útil</t>
  </si>
  <si>
    <t>Dep.</t>
  </si>
  <si>
    <t>Man.</t>
  </si>
  <si>
    <t>Seguro</t>
  </si>
  <si>
    <t>Total</t>
  </si>
  <si>
    <t>25 kg</t>
  </si>
  <si>
    <t>Custo de produção - Fase 1</t>
  </si>
  <si>
    <t>%CF=</t>
  </si>
  <si>
    <t>Custos totais</t>
  </si>
  <si>
    <t>CUP</t>
  </si>
  <si>
    <t>Preço de venda</t>
  </si>
  <si>
    <t>Custos de comercio</t>
  </si>
  <si>
    <t>Margem de lucro</t>
  </si>
  <si>
    <t>Custo de produção - Fase 2</t>
  </si>
  <si>
    <t>Estimativa do Capital de Giro</t>
  </si>
  <si>
    <t>Alevinos 1g</t>
  </si>
  <si>
    <t>R$</t>
  </si>
  <si>
    <t>Receita=</t>
  </si>
  <si>
    <t>%CTP</t>
  </si>
  <si>
    <t>%Receita</t>
  </si>
  <si>
    <t>Total anual</t>
  </si>
  <si>
    <t>M.O. temporária</t>
  </si>
  <si>
    <t>Exercício</t>
  </si>
  <si>
    <t>Custos</t>
  </si>
  <si>
    <t>Receitas</t>
  </si>
  <si>
    <t>LB</t>
  </si>
  <si>
    <t>Dep</t>
  </si>
  <si>
    <t>LT</t>
  </si>
  <si>
    <t>FCO</t>
  </si>
  <si>
    <t>CG</t>
  </si>
  <si>
    <t>ICG</t>
  </si>
  <si>
    <t>FC</t>
  </si>
  <si>
    <t>Inves. fin.</t>
  </si>
  <si>
    <t>Inves. fis.</t>
  </si>
  <si>
    <t>VPL=</t>
  </si>
  <si>
    <t>TIR=</t>
  </si>
  <si>
    <t>PBD=</t>
  </si>
  <si>
    <t>k=</t>
  </si>
  <si>
    <t>Inves. total</t>
  </si>
  <si>
    <t>VP</t>
  </si>
  <si>
    <t>VP Acum.</t>
  </si>
  <si>
    <t>Detecção</t>
  </si>
  <si>
    <t>do PBS</t>
  </si>
  <si>
    <t>Consumo (kg)</t>
  </si>
  <si>
    <t>CDR (% )</t>
  </si>
  <si>
    <t>Custos fixos anuais</t>
  </si>
  <si>
    <t>Custos variáveis anuais- Fase 1</t>
  </si>
  <si>
    <t>Custos variáveis anuais - Fase 2</t>
  </si>
  <si>
    <t>LLO</t>
  </si>
  <si>
    <t># final/ha</t>
  </si>
  <si>
    <t># inicial/ha</t>
  </si>
  <si>
    <t>Relação entre áreas</t>
  </si>
  <si>
    <t>Área</t>
  </si>
  <si>
    <t>P (kg/ha)</t>
  </si>
  <si>
    <t>Prd (kg)</t>
  </si>
  <si>
    <t>índices zootécnicos</t>
  </si>
  <si>
    <t>Duração (dias)</t>
  </si>
  <si>
    <t>Ração 32% PB</t>
  </si>
  <si>
    <t>Valores-referência produção</t>
  </si>
  <si>
    <t>Área alocada (ha)</t>
  </si>
  <si>
    <t>Área requerida (m2)</t>
  </si>
  <si>
    <t>DE</t>
  </si>
  <si>
    <t>FASES</t>
  </si>
  <si>
    <t>ANO1</t>
  </si>
  <si>
    <t>25kg</t>
  </si>
  <si>
    <t>VB</t>
  </si>
  <si>
    <t>Tanques</t>
  </si>
  <si>
    <t>m2</t>
  </si>
  <si>
    <t>k</t>
  </si>
  <si>
    <t>Preço</t>
  </si>
  <si>
    <t>Produção</t>
  </si>
  <si>
    <t>Receita</t>
  </si>
  <si>
    <t>VPL</t>
  </si>
  <si>
    <t>TIR</t>
  </si>
  <si>
    <t>PBD</t>
  </si>
  <si>
    <t>PRODUÇÃO (kg)</t>
  </si>
  <si>
    <t>Estoca</t>
  </si>
  <si>
    <t>Despesca</t>
  </si>
  <si>
    <t>Gasolina</t>
  </si>
  <si>
    <t>KWh</t>
  </si>
  <si>
    <t>Rede monofilamento al.</t>
  </si>
  <si>
    <t>Rede monofilamento juv.</t>
  </si>
  <si>
    <t>Total por ciclo</t>
  </si>
  <si>
    <t>Bomba 10 HP</t>
  </si>
  <si>
    <t>A-1</t>
  </si>
  <si>
    <t>E-1</t>
  </si>
  <si>
    <t>Declividade</t>
  </si>
  <si>
    <t>Volume</t>
  </si>
  <si>
    <t>Área seção transv.</t>
  </si>
  <si>
    <t>Altura do talude m</t>
  </si>
  <si>
    <t>Largura da crista m</t>
  </si>
  <si>
    <t>Largura da base m</t>
  </si>
  <si>
    <t>Volume m3</t>
  </si>
  <si>
    <t>Altura média talude m</t>
  </si>
  <si>
    <t>Volume total m3</t>
  </si>
  <si>
    <t>Comp. Médio m</t>
  </si>
  <si>
    <t>Largura média base m</t>
  </si>
  <si>
    <t>Aerador chafariz 1,5 HP</t>
  </si>
  <si>
    <t>Rede elétrica</t>
  </si>
  <si>
    <t>Acessórios da rede elétrica</t>
  </si>
  <si>
    <t>Grupo gerador</t>
  </si>
  <si>
    <t>litro</t>
  </si>
  <si>
    <t>CDR(kg/dia)</t>
  </si>
  <si>
    <t>E-2</t>
  </si>
  <si>
    <t>E-3</t>
  </si>
  <si>
    <t>E</t>
  </si>
  <si>
    <t>ANO2</t>
  </si>
  <si>
    <t>Financiamento</t>
  </si>
  <si>
    <t>N.° parcelas</t>
  </si>
  <si>
    <t>Parcelas</t>
  </si>
  <si>
    <t>juros</t>
  </si>
  <si>
    <t>Amortização</t>
  </si>
  <si>
    <t>Carência</t>
  </si>
  <si>
    <t>Projeto</t>
  </si>
  <si>
    <t>Kit completo de análise de água</t>
  </si>
  <si>
    <t>Calcário dolomítico</t>
  </si>
  <si>
    <t>ha</t>
  </si>
  <si>
    <t>Impostos</t>
  </si>
  <si>
    <t>Arrendamento</t>
  </si>
  <si>
    <t>Produção (alevinos 100g)</t>
  </si>
  <si>
    <t>Alevinos 100g</t>
  </si>
  <si>
    <t>Produção (kg)</t>
  </si>
  <si>
    <t>Tonelada</t>
  </si>
  <si>
    <t>dias de produção</t>
  </si>
  <si>
    <t>há=</t>
  </si>
  <si>
    <t>Tela anti-pássaro</t>
  </si>
  <si>
    <t>Ração 42%PB</t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</si>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</sst>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"/>
    <numFmt numFmtId="166" formatCode="General\ &quot;kg&quot;"/>
    <numFmt numFmtId="167" formatCode="_(* #,##0.0_);_(* \(#,##0.0\);_(* &quot;-&quot;??_);_(@_)"/>
    <numFmt numFmtId="168" formatCode="_(* #,##0_);_(* \(#,##0\);_(* &quot;-&quot;??_);_(@_)"/>
    <numFmt numFmtId="169" formatCode="&quot;Ano&quot;\ General"/>
    <numFmt numFmtId="170" formatCode="0.0%"/>
    <numFmt numFmtId="171" formatCode="0.00000%"/>
    <numFmt numFmtId="172" formatCode="0.0000000%"/>
    <numFmt numFmtId="173" formatCode="0.00000000%"/>
    <numFmt numFmtId="174" formatCode="[$-416]mmm\-yy;@"/>
    <numFmt numFmtId="175" formatCode="#,##0.0"/>
    <numFmt numFmtId="176" formatCode="0\ &quot;VB&quot;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sz val="10"/>
      <color rgb="FF00B0F0"/>
      <name val="Arial"/>
      <family val="2"/>
    </font>
    <font>
      <sz val="10"/>
      <color rgb="FF3333FF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2" xfId="0" applyBorder="1"/>
    <xf numFmtId="164" fontId="0" fillId="0" borderId="0" xfId="0" applyNumberFormat="1"/>
    <xf numFmtId="0" fontId="0" fillId="0" borderId="1" xfId="0" applyFill="1" applyBorder="1"/>
    <xf numFmtId="0" fontId="0" fillId="0" borderId="3" xfId="0" applyBorder="1"/>
    <xf numFmtId="0" fontId="0" fillId="0" borderId="3" xfId="0" applyBorder="1" applyAlignment="1">
      <alignment horizontal="right"/>
    </xf>
    <xf numFmtId="169" fontId="4" fillId="0" borderId="0" xfId="0" applyNumberFormat="1" applyFont="1"/>
    <xf numFmtId="164" fontId="4" fillId="0" borderId="0" xfId="0" applyNumberFormat="1" applyFont="1"/>
    <xf numFmtId="164" fontId="4" fillId="0" borderId="3" xfId="0" applyNumberFormat="1" applyFont="1" applyBorder="1"/>
    <xf numFmtId="164" fontId="4" fillId="0" borderId="2" xfId="0" applyNumberFormat="1" applyFont="1" applyBorder="1"/>
    <xf numFmtId="167" fontId="0" fillId="0" borderId="0" xfId="0" applyNumberFormat="1"/>
    <xf numFmtId="164" fontId="0" fillId="0" borderId="0" xfId="2" applyNumberFormat="1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/>
    <xf numFmtId="165" fontId="4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" xfId="0" applyFont="1" applyBorder="1" applyAlignment="1"/>
    <xf numFmtId="0" fontId="0" fillId="0" borderId="0" xfId="0" applyAlignment="1"/>
    <xf numFmtId="0" fontId="0" fillId="0" borderId="1" xfId="0" applyBorder="1" applyAlignment="1"/>
    <xf numFmtId="164" fontId="0" fillId="0" borderId="0" xfId="0" applyNumberFormat="1" applyAlignment="1"/>
    <xf numFmtId="164" fontId="2" fillId="0" borderId="1" xfId="2" applyFont="1" applyBorder="1" applyAlignment="1"/>
    <xf numFmtId="9" fontId="2" fillId="0" borderId="1" xfId="0" applyNumberFormat="1" applyFont="1" applyBorder="1" applyAlignment="1"/>
    <xf numFmtId="0" fontId="0" fillId="0" borderId="3" xfId="0" applyBorder="1" applyAlignment="1"/>
    <xf numFmtId="0" fontId="0" fillId="0" borderId="0" xfId="0" applyFill="1" applyBorder="1" applyAlignment="1"/>
    <xf numFmtId="0" fontId="2" fillId="0" borderId="1" xfId="0" applyFont="1" applyFill="1" applyBorder="1" applyAlignment="1"/>
    <xf numFmtId="0" fontId="0" fillId="0" borderId="2" xfId="0" applyBorder="1" applyAlignment="1"/>
    <xf numFmtId="164" fontId="3" fillId="0" borderId="1" xfId="0" applyNumberFormat="1" applyFont="1" applyBorder="1" applyAlignment="1"/>
    <xf numFmtId="0" fontId="0" fillId="0" borderId="1" xfId="0" applyBorder="1" applyAlignment="1">
      <alignment horizontal="right"/>
    </xf>
    <xf numFmtId="164" fontId="0" fillId="0" borderId="0" xfId="2" applyFont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8" fontId="0" fillId="0" borderId="0" xfId="2" applyNumberFormat="1" applyFont="1"/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/>
    </xf>
    <xf numFmtId="170" fontId="2" fillId="0" borderId="1" xfId="0" applyNumberFormat="1" applyFont="1" applyBorder="1" applyAlignment="1"/>
    <xf numFmtId="3" fontId="0" fillId="0" borderId="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4" fillId="0" borderId="0" xfId="2" applyNumberFormat="1" applyFont="1" applyAlignment="1">
      <alignment horizontal="center"/>
    </xf>
    <xf numFmtId="39" fontId="3" fillId="0" borderId="0" xfId="0" applyNumberFormat="1" applyFont="1" applyBorder="1" applyAlignment="1">
      <alignment horizontal="center"/>
    </xf>
    <xf numFmtId="39" fontId="3" fillId="0" borderId="0" xfId="0" applyNumberFormat="1" applyFont="1" applyFill="1" applyBorder="1" applyAlignment="1">
      <alignment horizontal="center"/>
    </xf>
    <xf numFmtId="39" fontId="4" fillId="0" borderId="0" xfId="0" applyNumberFormat="1" applyFont="1" applyAlignment="1">
      <alignment horizontal="center"/>
    </xf>
    <xf numFmtId="3" fontId="0" fillId="0" borderId="0" xfId="2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2" applyNumberFormat="1" applyFont="1" applyAlignment="1">
      <alignment horizontal="center"/>
    </xf>
    <xf numFmtId="2" fontId="5" fillId="0" borderId="3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167" fontId="4" fillId="0" borderId="0" xfId="0" applyNumberFormat="1" applyFont="1"/>
    <xf numFmtId="175" fontId="0" fillId="0" borderId="2" xfId="0" applyNumberFormat="1" applyBorder="1" applyAlignment="1">
      <alignment horizontal="center"/>
    </xf>
    <xf numFmtId="175" fontId="4" fillId="0" borderId="0" xfId="0" applyNumberFormat="1" applyFont="1" applyAlignment="1">
      <alignment horizontal="center"/>
    </xf>
    <xf numFmtId="171" fontId="0" fillId="0" borderId="0" xfId="1" applyNumberFormat="1" applyFont="1"/>
    <xf numFmtId="9" fontId="4" fillId="0" borderId="1" xfId="1" applyFont="1" applyBorder="1" applyAlignment="1">
      <alignment horizontal="center"/>
    </xf>
    <xf numFmtId="174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175" fontId="0" fillId="0" borderId="0" xfId="0" applyNumberForma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75" fontId="0" fillId="0" borderId="1" xfId="2" applyNumberFormat="1" applyFont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70" fontId="2" fillId="0" borderId="1" xfId="0" applyNumberFormat="1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3" fontId="4" fillId="0" borderId="3" xfId="2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9" fontId="4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" fontId="0" fillId="0" borderId="0" xfId="0" applyNumberFormat="1"/>
    <xf numFmtId="9" fontId="4" fillId="0" borderId="0" xfId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2" fillId="0" borderId="1" xfId="0" applyFont="1" applyBorder="1" applyAlignment="1"/>
    <xf numFmtId="2" fontId="0" fillId="0" borderId="0" xfId="0" applyNumberFormat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0" fontId="4" fillId="0" borderId="0" xfId="0" applyNumberFormat="1" applyFont="1" applyAlignment="1">
      <alignment horizontal="center"/>
    </xf>
    <xf numFmtId="40" fontId="4" fillId="0" borderId="0" xfId="0" applyNumberFormat="1" applyFont="1"/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3" fontId="0" fillId="0" borderId="0" xfId="2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2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0" fillId="0" borderId="0" xfId="2" applyNumberFormat="1" applyFont="1" applyAlignment="1">
      <alignment horizontal="center"/>
    </xf>
    <xf numFmtId="173" fontId="10" fillId="0" borderId="0" xfId="1" applyNumberFormat="1" applyFont="1" applyAlignment="1"/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4" fontId="0" fillId="0" borderId="2" xfId="0" applyNumberFormat="1" applyBorder="1" applyAlignment="1">
      <alignment horizontal="center" vertical="center"/>
    </xf>
    <xf numFmtId="40" fontId="0" fillId="0" borderId="0" xfId="0" applyNumberFormat="1" applyAlignment="1">
      <alignment horizontal="center"/>
    </xf>
    <xf numFmtId="0" fontId="0" fillId="0" borderId="0" xfId="0" applyAlignment="1"/>
    <xf numFmtId="10" fontId="0" fillId="0" borderId="0" xfId="1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165" fontId="11" fillId="0" borderId="0" xfId="0" applyNumberFormat="1" applyFont="1" applyBorder="1" applyAlignment="1">
      <alignment horizontal="center"/>
    </xf>
    <xf numFmtId="175" fontId="11" fillId="0" borderId="0" xfId="2" applyNumberFormat="1" applyFont="1" applyBorder="1" applyAlignment="1">
      <alignment horizontal="center"/>
    </xf>
    <xf numFmtId="175" fontId="11" fillId="0" borderId="0" xfId="0" applyNumberFormat="1" applyFont="1" applyBorder="1" applyAlignment="1">
      <alignment horizontal="center"/>
    </xf>
    <xf numFmtId="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2" fillId="0" borderId="0" xfId="0" applyNumberFormat="1" applyFont="1"/>
    <xf numFmtId="0" fontId="0" fillId="0" borderId="0" xfId="0" applyAlignment="1">
      <alignment horizontal="right"/>
    </xf>
    <xf numFmtId="173" fontId="12" fillId="0" borderId="0" xfId="1" applyNumberFormat="1" applyFont="1" applyAlignment="1"/>
    <xf numFmtId="0" fontId="1" fillId="0" borderId="0" xfId="0" applyFont="1" applyAlignment="1"/>
    <xf numFmtId="10" fontId="12" fillId="0" borderId="0" xfId="0" applyNumberFormat="1" applyFont="1" applyBorder="1" applyAlignment="1">
      <alignment horizontal="center"/>
    </xf>
    <xf numFmtId="172" fontId="10" fillId="0" borderId="0" xfId="0" applyNumberFormat="1" applyFont="1" applyBorder="1" applyAlignment="1">
      <alignment horizontal="center"/>
    </xf>
    <xf numFmtId="9" fontId="0" fillId="0" borderId="2" xfId="0" applyNumberFormat="1" applyBorder="1"/>
    <xf numFmtId="0" fontId="0" fillId="0" borderId="2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2" fillId="0" borderId="1" xfId="0" applyFont="1" applyBorder="1" applyAlignment="1"/>
  </cellXfs>
  <cellStyles count="3">
    <cellStyle name="Normal" xfId="0" builtinId="0"/>
    <cellStyle name="Porcentagem" xfId="1" builtinId="5"/>
    <cellStyle name="Vírgula" xfId="2" builtinId="3"/>
  </cellStyles>
  <dxfs count="1">
    <dxf>
      <font>
        <color rgb="FFFF000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workbookViewId="0">
      <selection activeCell="G4" sqref="G4"/>
    </sheetView>
  </sheetViews>
  <sheetFormatPr defaultRowHeight="12.75" x14ac:dyDescent="0.2"/>
  <cols>
    <col min="1" max="2" width="10.140625" bestFit="1" customWidth="1"/>
    <col min="3" max="3" width="10" customWidth="1"/>
    <col min="4" max="5" width="10.140625" bestFit="1" customWidth="1"/>
    <col min="8" max="8" width="10.140625" customWidth="1"/>
    <col min="11" max="11" width="10.28515625" customWidth="1"/>
  </cols>
  <sheetData>
    <row r="1" spans="2:12" x14ac:dyDescent="0.2">
      <c r="E1" t="s">
        <v>114</v>
      </c>
      <c r="G1">
        <v>1.2</v>
      </c>
      <c r="H1" s="99" t="s">
        <v>120</v>
      </c>
      <c r="J1">
        <f>E6+G6+I6</f>
        <v>27.5</v>
      </c>
    </row>
    <row r="2" spans="2:12" x14ac:dyDescent="0.2">
      <c r="E2" t="s">
        <v>111</v>
      </c>
      <c r="G2">
        <v>2.5</v>
      </c>
      <c r="H2" t="s">
        <v>113</v>
      </c>
      <c r="J2">
        <f>(AVERAGE(G3:G4))*G1</f>
        <v>6.6</v>
      </c>
    </row>
    <row r="3" spans="2:12" x14ac:dyDescent="0.2">
      <c r="E3" t="s">
        <v>115</v>
      </c>
      <c r="G3">
        <v>2.5</v>
      </c>
      <c r="H3" s="99" t="s">
        <v>117</v>
      </c>
      <c r="J3">
        <f>J2*J1</f>
        <v>181.5</v>
      </c>
    </row>
    <row r="4" spans="2:12" x14ac:dyDescent="0.2">
      <c r="E4" t="s">
        <v>116</v>
      </c>
      <c r="G4" s="81">
        <f>G2*G1+G2*G1+G3</f>
        <v>8.5</v>
      </c>
    </row>
    <row r="5" spans="2:12" x14ac:dyDescent="0.2">
      <c r="E5" s="96"/>
      <c r="F5" s="96"/>
      <c r="G5" s="96"/>
      <c r="H5" s="96"/>
      <c r="I5" s="96"/>
    </row>
    <row r="6" spans="2:12" ht="13.5" thickBot="1" x14ac:dyDescent="0.25">
      <c r="E6" s="96">
        <f>L10</f>
        <v>8.75</v>
      </c>
      <c r="F6" s="96"/>
      <c r="G6" s="98">
        <v>10</v>
      </c>
      <c r="H6" s="96"/>
      <c r="I6" s="96">
        <f>E6</f>
        <v>8.75</v>
      </c>
    </row>
    <row r="7" spans="2:12" x14ac:dyDescent="0.2">
      <c r="B7" s="99" t="s">
        <v>118</v>
      </c>
      <c r="D7">
        <v>1.25</v>
      </c>
      <c r="E7" s="97"/>
      <c r="F7" s="88"/>
      <c r="G7" s="89"/>
      <c r="H7" s="90"/>
      <c r="I7" s="97"/>
      <c r="J7" s="99" t="s">
        <v>118</v>
      </c>
      <c r="L7">
        <v>1.25</v>
      </c>
    </row>
    <row r="8" spans="2:12" x14ac:dyDescent="0.2">
      <c r="B8" t="s">
        <v>111</v>
      </c>
      <c r="D8">
        <v>2.5</v>
      </c>
      <c r="E8" s="97"/>
      <c r="F8" s="91"/>
      <c r="G8" s="2"/>
      <c r="H8" s="92"/>
      <c r="I8" s="97"/>
      <c r="J8" t="s">
        <v>111</v>
      </c>
      <c r="L8">
        <v>2.5</v>
      </c>
    </row>
    <row r="9" spans="2:12" x14ac:dyDescent="0.2">
      <c r="B9" t="s">
        <v>115</v>
      </c>
      <c r="D9">
        <v>2.5</v>
      </c>
      <c r="E9" s="97"/>
      <c r="F9" s="91"/>
      <c r="G9" s="2"/>
      <c r="H9" s="92"/>
      <c r="I9" s="97"/>
      <c r="J9" t="s">
        <v>115</v>
      </c>
      <c r="L9">
        <v>2.5</v>
      </c>
    </row>
    <row r="10" spans="2:12" x14ac:dyDescent="0.2">
      <c r="B10" s="99" t="s">
        <v>121</v>
      </c>
      <c r="D10" s="80">
        <f>D8*D7+D9+D8*D7</f>
        <v>8.75</v>
      </c>
      <c r="E10" s="97"/>
      <c r="F10" s="91"/>
      <c r="G10" s="2"/>
      <c r="H10" s="92"/>
      <c r="I10" s="97"/>
      <c r="J10" s="99" t="s">
        <v>121</v>
      </c>
      <c r="L10" s="80">
        <f>L8*L7+L9+L8*L7</f>
        <v>8.75</v>
      </c>
    </row>
    <row r="11" spans="2:12" x14ac:dyDescent="0.2">
      <c r="B11" s="99" t="s">
        <v>120</v>
      </c>
      <c r="D11">
        <f>E14</f>
        <v>30</v>
      </c>
      <c r="E11" s="97"/>
      <c r="F11" s="91"/>
      <c r="G11" s="2"/>
      <c r="H11" s="92"/>
      <c r="I11" s="97"/>
      <c r="J11" s="99" t="s">
        <v>120</v>
      </c>
      <c r="L11">
        <f>E14</f>
        <v>30</v>
      </c>
    </row>
    <row r="12" spans="2:12" x14ac:dyDescent="0.2">
      <c r="B12" t="s">
        <v>113</v>
      </c>
      <c r="D12">
        <f>(AVERAGE(D9:D10)*D7)</f>
        <v>7.03125</v>
      </c>
      <c r="E12" s="97"/>
      <c r="F12" s="91"/>
      <c r="G12" s="2"/>
      <c r="H12" s="92"/>
      <c r="I12" s="97"/>
      <c r="J12" t="s">
        <v>113</v>
      </c>
      <c r="L12">
        <f>(AVERAGE(L9:L10)*L7)</f>
        <v>7.03125</v>
      </c>
    </row>
    <row r="13" spans="2:12" x14ac:dyDescent="0.2">
      <c r="B13" t="s">
        <v>112</v>
      </c>
      <c r="D13">
        <f>D12*D11</f>
        <v>210.9375</v>
      </c>
      <c r="E13" s="97"/>
      <c r="F13" s="91"/>
      <c r="G13" s="2"/>
      <c r="H13" s="92"/>
      <c r="I13" s="97"/>
      <c r="J13" t="s">
        <v>112</v>
      </c>
      <c r="L13">
        <f>L12*L11</f>
        <v>210.9375</v>
      </c>
    </row>
    <row r="14" spans="2:12" x14ac:dyDescent="0.2">
      <c r="E14" s="97">
        <v>30</v>
      </c>
      <c r="F14" s="91"/>
      <c r="G14" s="2"/>
      <c r="H14" s="92"/>
      <c r="I14" s="97">
        <v>30</v>
      </c>
    </row>
    <row r="15" spans="2:12" x14ac:dyDescent="0.2">
      <c r="E15" s="97"/>
      <c r="F15" s="91"/>
      <c r="G15" s="2"/>
      <c r="H15" s="92"/>
      <c r="I15" s="97"/>
    </row>
    <row r="16" spans="2:12" x14ac:dyDescent="0.2">
      <c r="E16" s="97"/>
      <c r="F16" s="91"/>
      <c r="G16" s="2"/>
      <c r="H16" s="92"/>
      <c r="I16" s="97"/>
    </row>
    <row r="17" spans="5:10" x14ac:dyDescent="0.2">
      <c r="E17" s="97"/>
      <c r="F17" s="91"/>
      <c r="G17" s="2"/>
      <c r="H17" s="92"/>
      <c r="I17" s="97"/>
    </row>
    <row r="18" spans="5:10" x14ac:dyDescent="0.2">
      <c r="E18" s="97"/>
      <c r="F18" s="91"/>
      <c r="G18" s="2"/>
      <c r="H18" s="92"/>
      <c r="I18" s="97"/>
    </row>
    <row r="19" spans="5:10" x14ac:dyDescent="0.2">
      <c r="E19" s="97"/>
      <c r="F19" s="91"/>
      <c r="G19" s="2"/>
      <c r="H19" s="92"/>
      <c r="I19" s="97"/>
    </row>
    <row r="20" spans="5:10" x14ac:dyDescent="0.2">
      <c r="E20" s="97"/>
      <c r="F20" s="91"/>
      <c r="G20" s="2"/>
      <c r="H20" s="92"/>
      <c r="I20" s="97"/>
    </row>
    <row r="21" spans="5:10" ht="13.5" thickBot="1" x14ac:dyDescent="0.25">
      <c r="E21" s="97"/>
      <c r="F21" s="93"/>
      <c r="G21" s="94"/>
      <c r="H21" s="95"/>
      <c r="I21" s="97"/>
    </row>
    <row r="22" spans="5:10" x14ac:dyDescent="0.2">
      <c r="E22" s="96">
        <f>E6</f>
        <v>8.75</v>
      </c>
      <c r="F22" s="96"/>
      <c r="G22" s="98">
        <f>G6</f>
        <v>10</v>
      </c>
      <c r="H22" s="96"/>
      <c r="I22" s="96">
        <f>I6</f>
        <v>8.75</v>
      </c>
    </row>
    <row r="23" spans="5:10" x14ac:dyDescent="0.2">
      <c r="E23" s="96"/>
      <c r="F23" s="96"/>
      <c r="G23" s="96"/>
      <c r="H23" s="96"/>
      <c r="I23" s="96"/>
    </row>
    <row r="26" spans="5:10" x14ac:dyDescent="0.2">
      <c r="E26" s="99" t="s">
        <v>118</v>
      </c>
      <c r="G26">
        <v>1.2</v>
      </c>
      <c r="H26" s="99" t="s">
        <v>120</v>
      </c>
      <c r="J26">
        <f>E22+G22+I22</f>
        <v>27.5</v>
      </c>
    </row>
    <row r="27" spans="5:10" x14ac:dyDescent="0.2">
      <c r="E27" t="s">
        <v>111</v>
      </c>
      <c r="G27">
        <v>2.5</v>
      </c>
      <c r="H27" t="s">
        <v>113</v>
      </c>
      <c r="J27">
        <f>(AVERAGE(G28:G29))*G26</f>
        <v>6.6</v>
      </c>
    </row>
    <row r="28" spans="5:10" x14ac:dyDescent="0.2">
      <c r="E28" t="s">
        <v>115</v>
      </c>
      <c r="G28">
        <v>2.5</v>
      </c>
      <c r="H28" s="99" t="s">
        <v>117</v>
      </c>
      <c r="J28">
        <f>J27*J26</f>
        <v>181.5</v>
      </c>
    </row>
    <row r="29" spans="5:10" x14ac:dyDescent="0.2">
      <c r="E29" t="s">
        <v>116</v>
      </c>
      <c r="G29" s="81">
        <f>G27*G26+G27*G26+G28</f>
        <v>8.5</v>
      </c>
    </row>
    <row r="31" spans="5:10" x14ac:dyDescent="0.2">
      <c r="E31" s="148" t="s">
        <v>119</v>
      </c>
      <c r="F31" s="148"/>
    </row>
    <row r="32" spans="5:10" x14ac:dyDescent="0.2">
      <c r="E32" s="101">
        <f>SUM(J28,L13,J3,D13)</f>
        <v>784.875</v>
      </c>
      <c r="F32" s="101"/>
    </row>
  </sheetData>
  <mergeCells count="1">
    <mergeCell ref="E31:F31"/>
  </mergeCells>
  <phoneticPr fontId="8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30" zoomScaleNormal="130" workbookViewId="0">
      <selection activeCell="G11" sqref="G11"/>
    </sheetView>
  </sheetViews>
  <sheetFormatPr defaultRowHeight="12.75" x14ac:dyDescent="0.2"/>
  <cols>
    <col min="1" max="1" width="22.85546875" bestFit="1" customWidth="1"/>
    <col min="3" max="3" width="10.5703125" bestFit="1" customWidth="1"/>
    <col min="4" max="4" width="10.140625" bestFit="1" customWidth="1"/>
    <col min="5" max="5" width="14.5703125" bestFit="1" customWidth="1"/>
    <col min="6" max="6" width="9.28515625" bestFit="1" customWidth="1"/>
    <col min="7" max="9" width="13.140625" bestFit="1" customWidth="1"/>
  </cols>
  <sheetData>
    <row r="1" spans="1:9" x14ac:dyDescent="0.2">
      <c r="A1" t="s">
        <v>0</v>
      </c>
      <c r="B1" s="15" t="s">
        <v>2</v>
      </c>
      <c r="C1" s="15" t="s">
        <v>7</v>
      </c>
      <c r="D1" s="15" t="s">
        <v>8</v>
      </c>
      <c r="E1" s="15" t="s">
        <v>9</v>
      </c>
      <c r="F1" s="15" t="s">
        <v>25</v>
      </c>
      <c r="G1" s="15" t="s">
        <v>26</v>
      </c>
      <c r="H1" s="15" t="s">
        <v>27</v>
      </c>
      <c r="I1" s="15" t="s">
        <v>28</v>
      </c>
    </row>
    <row r="2" spans="1:9" x14ac:dyDescent="0.2">
      <c r="A2" s="111" t="s">
        <v>138</v>
      </c>
      <c r="B2" s="112" t="s">
        <v>141</v>
      </c>
      <c r="C2" s="113">
        <v>1000</v>
      </c>
      <c r="D2" s="116">
        <f>(Planejamento!K5)</f>
        <v>1.44</v>
      </c>
      <c r="E2" s="117">
        <f>D2*C2</f>
        <v>1440</v>
      </c>
      <c r="F2" s="112"/>
      <c r="G2" s="117"/>
      <c r="H2" s="117"/>
      <c r="I2" s="117"/>
    </row>
    <row r="3" spans="1:9" x14ac:dyDescent="0.2">
      <c r="A3" s="114" t="s">
        <v>91</v>
      </c>
      <c r="B3" s="112" t="s">
        <v>141</v>
      </c>
      <c r="C3" s="113">
        <v>60000</v>
      </c>
      <c r="D3" s="118">
        <f>Planejamento!K5</f>
        <v>1.44</v>
      </c>
      <c r="E3" s="117">
        <f>D3*C3</f>
        <v>86400</v>
      </c>
      <c r="F3" s="112">
        <v>20</v>
      </c>
      <c r="G3" s="117">
        <f>E3/F3</f>
        <v>4320</v>
      </c>
      <c r="H3" s="117">
        <f>G3/2</f>
        <v>2160</v>
      </c>
      <c r="I3" s="117">
        <f>H3</f>
        <v>2160</v>
      </c>
    </row>
    <row r="4" spans="1:9" x14ac:dyDescent="0.2">
      <c r="A4" s="114" t="s">
        <v>1</v>
      </c>
      <c r="B4" s="112" t="s">
        <v>3</v>
      </c>
      <c r="C4" s="113">
        <v>1500</v>
      </c>
      <c r="D4" s="116">
        <f>Planejamento!K5</f>
        <v>1.44</v>
      </c>
      <c r="E4" s="117">
        <f t="shared" ref="E4:E14" si="0">D4*C4</f>
        <v>2160</v>
      </c>
      <c r="F4" s="112">
        <v>10</v>
      </c>
      <c r="G4" s="117">
        <f t="shared" ref="G4:G14" si="1">E4/F4</f>
        <v>216</v>
      </c>
      <c r="H4" s="117">
        <f t="shared" ref="H4:H14" si="2">G4/2</f>
        <v>108</v>
      </c>
      <c r="I4" s="117">
        <f t="shared" ref="I4:I14" si="3">H4</f>
        <v>108</v>
      </c>
    </row>
    <row r="5" spans="1:9" x14ac:dyDescent="0.2">
      <c r="A5" s="114" t="s">
        <v>108</v>
      </c>
      <c r="B5" s="112" t="s">
        <v>3</v>
      </c>
      <c r="C5" s="113">
        <v>5000</v>
      </c>
      <c r="D5" s="116"/>
      <c r="E5" s="117">
        <f>D5*C5</f>
        <v>0</v>
      </c>
      <c r="F5" s="112">
        <v>10</v>
      </c>
      <c r="G5" s="117">
        <f>E5/F5</f>
        <v>0</v>
      </c>
      <c r="H5" s="117">
        <f t="shared" si="2"/>
        <v>0</v>
      </c>
      <c r="I5" s="117">
        <f t="shared" si="3"/>
        <v>0</v>
      </c>
    </row>
    <row r="6" spans="1:9" x14ac:dyDescent="0.2">
      <c r="A6" s="114" t="s">
        <v>122</v>
      </c>
      <c r="B6" s="112" t="s">
        <v>3</v>
      </c>
      <c r="C6" s="113">
        <v>2300</v>
      </c>
      <c r="D6" s="116">
        <f>4*Planejamento!K5</f>
        <v>5.76</v>
      </c>
      <c r="E6" s="117">
        <f t="shared" si="0"/>
        <v>13248</v>
      </c>
      <c r="F6" s="112">
        <v>10</v>
      </c>
      <c r="G6" s="117">
        <f t="shared" si="1"/>
        <v>1324.8</v>
      </c>
      <c r="H6" s="117">
        <f t="shared" si="2"/>
        <v>662.4</v>
      </c>
      <c r="I6" s="117">
        <f t="shared" si="3"/>
        <v>662.4</v>
      </c>
    </row>
    <row r="7" spans="1:9" x14ac:dyDescent="0.2">
      <c r="A7" s="114" t="s">
        <v>24</v>
      </c>
      <c r="B7" s="112" t="s">
        <v>3</v>
      </c>
      <c r="C7" s="113">
        <v>150</v>
      </c>
      <c r="D7" s="116">
        <v>1</v>
      </c>
      <c r="E7" s="117">
        <f t="shared" si="0"/>
        <v>150</v>
      </c>
      <c r="F7" s="112">
        <v>5</v>
      </c>
      <c r="G7" s="117">
        <f t="shared" si="1"/>
        <v>30</v>
      </c>
      <c r="H7" s="117">
        <f t="shared" si="2"/>
        <v>15</v>
      </c>
      <c r="I7" s="117">
        <f t="shared" si="3"/>
        <v>15</v>
      </c>
    </row>
    <row r="8" spans="1:9" x14ac:dyDescent="0.2">
      <c r="A8" s="114" t="s">
        <v>123</v>
      </c>
      <c r="B8" s="112" t="s">
        <v>3</v>
      </c>
      <c r="C8" s="113">
        <v>5681.62</v>
      </c>
      <c r="D8" s="116">
        <v>1</v>
      </c>
      <c r="E8" s="117">
        <f>D8*C8</f>
        <v>5681.62</v>
      </c>
      <c r="F8" s="112">
        <v>10</v>
      </c>
      <c r="G8" s="117">
        <f>E8/F8</f>
        <v>568.16200000000003</v>
      </c>
      <c r="H8" s="117">
        <f>G8/2</f>
        <v>284.08100000000002</v>
      </c>
      <c r="I8" s="117">
        <f>H8</f>
        <v>284.08100000000002</v>
      </c>
    </row>
    <row r="9" spans="1:9" x14ac:dyDescent="0.2">
      <c r="A9" s="114" t="s">
        <v>124</v>
      </c>
      <c r="B9" s="112" t="s">
        <v>3</v>
      </c>
      <c r="C9" s="113">
        <v>1818.18</v>
      </c>
      <c r="D9" s="116">
        <v>1</v>
      </c>
      <c r="E9" s="117">
        <f>D9*C9</f>
        <v>1818.18</v>
      </c>
      <c r="F9" s="112">
        <v>10</v>
      </c>
      <c r="G9" s="117">
        <f>E9/F9</f>
        <v>181.81800000000001</v>
      </c>
      <c r="H9" s="117">
        <f>G9/2</f>
        <v>90.909000000000006</v>
      </c>
      <c r="I9" s="117">
        <f>H9</f>
        <v>90.909000000000006</v>
      </c>
    </row>
    <row r="10" spans="1:9" x14ac:dyDescent="0.2">
      <c r="A10" s="114" t="s">
        <v>125</v>
      </c>
      <c r="B10" s="112" t="s">
        <v>3</v>
      </c>
      <c r="C10" s="113">
        <v>2272.73</v>
      </c>
      <c r="D10" s="116">
        <v>1</v>
      </c>
      <c r="E10" s="117">
        <f>D10*C10</f>
        <v>2272.73</v>
      </c>
      <c r="F10" s="112">
        <v>10</v>
      </c>
      <c r="G10" s="117">
        <f>E10/F10</f>
        <v>227.273</v>
      </c>
      <c r="H10" s="117">
        <f>G10/2</f>
        <v>113.6365</v>
      </c>
      <c r="I10" s="117">
        <f>H10</f>
        <v>113.6365</v>
      </c>
    </row>
    <row r="11" spans="1:9" x14ac:dyDescent="0.2">
      <c r="A11" s="114" t="s">
        <v>150</v>
      </c>
      <c r="B11" s="112" t="s">
        <v>92</v>
      </c>
      <c r="C11" s="113">
        <f>88/13</f>
        <v>6.7692307692307692</v>
      </c>
      <c r="D11" s="118">
        <f>Planejamento!H5*10000</f>
        <v>581.81818181818187</v>
      </c>
      <c r="E11" s="117">
        <f>D11*C11</f>
        <v>3938.4615384615386</v>
      </c>
      <c r="F11" s="112">
        <v>10</v>
      </c>
      <c r="G11" s="117">
        <f>E11/F11</f>
        <v>393.84615384615387</v>
      </c>
      <c r="H11" s="117">
        <f>G11/2</f>
        <v>196.92307692307693</v>
      </c>
      <c r="I11" s="117">
        <f>H11</f>
        <v>196.92307692307693</v>
      </c>
    </row>
    <row r="12" spans="1:9" ht="25.5" x14ac:dyDescent="0.2">
      <c r="A12" s="115" t="s">
        <v>139</v>
      </c>
      <c r="B12" s="112" t="s">
        <v>3</v>
      </c>
      <c r="C12" s="113">
        <v>2906.9</v>
      </c>
      <c r="D12" s="116">
        <v>1</v>
      </c>
      <c r="E12" s="117">
        <f t="shared" si="0"/>
        <v>2906.9</v>
      </c>
      <c r="F12" s="112">
        <v>5</v>
      </c>
      <c r="G12" s="117">
        <f t="shared" si="1"/>
        <v>581.38</v>
      </c>
      <c r="H12" s="117">
        <f t="shared" si="2"/>
        <v>290.69</v>
      </c>
      <c r="I12" s="117">
        <f t="shared" si="3"/>
        <v>290.69</v>
      </c>
    </row>
    <row r="13" spans="1:9" x14ac:dyDescent="0.2">
      <c r="A13" s="114" t="s">
        <v>105</v>
      </c>
      <c r="B13" s="112" t="s">
        <v>3</v>
      </c>
      <c r="C13" s="113">
        <v>1500</v>
      </c>
      <c r="D13" s="116">
        <v>1</v>
      </c>
      <c r="E13" s="117">
        <f t="shared" si="0"/>
        <v>1500</v>
      </c>
      <c r="F13" s="112">
        <v>10</v>
      </c>
      <c r="G13" s="117">
        <f t="shared" si="1"/>
        <v>150</v>
      </c>
      <c r="H13" s="117">
        <f t="shared" si="2"/>
        <v>75</v>
      </c>
      <c r="I13" s="117">
        <f t="shared" si="3"/>
        <v>75</v>
      </c>
    </row>
    <row r="14" spans="1:9" x14ac:dyDescent="0.2">
      <c r="A14" s="114" t="s">
        <v>106</v>
      </c>
      <c r="B14" s="112" t="s">
        <v>3</v>
      </c>
      <c r="C14" s="113">
        <v>1500</v>
      </c>
      <c r="D14" s="116">
        <v>1</v>
      </c>
      <c r="E14" s="117">
        <f t="shared" si="0"/>
        <v>1500</v>
      </c>
      <c r="F14" s="112">
        <v>10</v>
      </c>
      <c r="G14" s="117">
        <f t="shared" si="1"/>
        <v>150</v>
      </c>
      <c r="H14" s="117">
        <f t="shared" si="2"/>
        <v>75</v>
      </c>
      <c r="I14" s="117">
        <f t="shared" si="3"/>
        <v>75</v>
      </c>
    </row>
    <row r="15" spans="1:9" x14ac:dyDescent="0.2">
      <c r="A15" s="1"/>
      <c r="B15" s="109"/>
      <c r="C15" s="109"/>
      <c r="D15" s="109"/>
      <c r="E15" s="119">
        <f>SUM(E2:E14)</f>
        <v>123015.89153846151</v>
      </c>
      <c r="F15" s="109"/>
      <c r="G15" s="119">
        <f>SUM(G3:G14)</f>
        <v>8143.2791538461552</v>
      </c>
      <c r="H15" s="119">
        <f>SUM(H3:H14)</f>
        <v>4071.6395769230776</v>
      </c>
      <c r="I15" s="119">
        <f>SUM(I3:I14)</f>
        <v>4071.6395769230776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zoomScaleNormal="100" workbookViewId="0">
      <selection activeCell="G17" sqref="G17"/>
    </sheetView>
  </sheetViews>
  <sheetFormatPr defaultRowHeight="12.75" x14ac:dyDescent="0.2"/>
  <cols>
    <col min="1" max="1" width="17.28515625" bestFit="1" customWidth="1"/>
    <col min="2" max="2" width="12" bestFit="1" customWidth="1"/>
    <col min="3" max="3" width="11.5703125" bestFit="1" customWidth="1"/>
    <col min="4" max="4" width="11" bestFit="1" customWidth="1"/>
    <col min="5" max="5" width="10.42578125" bestFit="1" customWidth="1"/>
    <col min="6" max="6" width="10.5703125" bestFit="1" customWidth="1"/>
    <col min="7" max="7" width="10.42578125" bestFit="1" customWidth="1"/>
    <col min="8" max="8" width="10.42578125" customWidth="1"/>
    <col min="9" max="10" width="10.85546875" bestFit="1" customWidth="1"/>
    <col min="11" max="11" width="9.85546875" bestFit="1" customWidth="1"/>
    <col min="12" max="12" width="10.28515625" bestFit="1" customWidth="1"/>
    <col min="13" max="14" width="9.85546875" bestFit="1" customWidth="1"/>
    <col min="15" max="15" width="10.42578125" customWidth="1"/>
    <col min="16" max="16" width="10.28515625" bestFit="1" customWidth="1"/>
    <col min="17" max="17" width="9.85546875" bestFit="1" customWidth="1"/>
    <col min="18" max="18" width="10.28515625" bestFit="1" customWidth="1"/>
  </cols>
  <sheetData>
    <row r="1" spans="1:13" x14ac:dyDescent="0.2">
      <c r="A1" s="150" t="s">
        <v>83</v>
      </c>
      <c r="B1" s="150"/>
      <c r="C1" s="150"/>
      <c r="F1" s="150" t="s">
        <v>76</v>
      </c>
      <c r="G1" s="150"/>
      <c r="H1" s="150"/>
      <c r="I1" s="150"/>
      <c r="J1" s="150"/>
    </row>
    <row r="2" spans="1:13" x14ac:dyDescent="0.2">
      <c r="A2" s="1"/>
      <c r="B2" s="16" t="s">
        <v>10</v>
      </c>
      <c r="C2" s="16" t="s">
        <v>11</v>
      </c>
      <c r="F2" s="1"/>
      <c r="G2" s="1"/>
      <c r="H2" s="16" t="s">
        <v>10</v>
      </c>
      <c r="I2" s="16" t="s">
        <v>11</v>
      </c>
    </row>
    <row r="3" spans="1:13" x14ac:dyDescent="0.2">
      <c r="A3" t="s">
        <v>5</v>
      </c>
      <c r="B3" s="135">
        <v>5</v>
      </c>
      <c r="C3" s="19">
        <f>B4</f>
        <v>100</v>
      </c>
      <c r="F3" s="149" t="s">
        <v>85</v>
      </c>
      <c r="G3" s="149"/>
      <c r="H3" s="15">
        <v>1000</v>
      </c>
      <c r="I3" s="27">
        <f>(B9/C10)*1000*(C12/B12)*H4</f>
        <v>23750</v>
      </c>
    </row>
    <row r="4" spans="1:13" x14ac:dyDescent="0.2">
      <c r="A4" t="s">
        <v>6</v>
      </c>
      <c r="B4" s="135">
        <v>100</v>
      </c>
      <c r="C4" s="135">
        <v>2500</v>
      </c>
      <c r="F4" t="s">
        <v>76</v>
      </c>
      <c r="H4" s="15">
        <v>1</v>
      </c>
      <c r="I4" s="27">
        <f>I3/1000</f>
        <v>23.75</v>
      </c>
      <c r="K4" s="21">
        <f>SUM(H4:J4)</f>
        <v>24.75</v>
      </c>
    </row>
    <row r="5" spans="1:13" x14ac:dyDescent="0.2">
      <c r="A5" t="s">
        <v>12</v>
      </c>
      <c r="B5" s="19">
        <f>B4-B3</f>
        <v>95</v>
      </c>
      <c r="C5" s="19">
        <f>C4-C3</f>
        <v>2400</v>
      </c>
      <c r="F5" t="s">
        <v>84</v>
      </c>
      <c r="H5" s="23">
        <f>($K$5/$K$4)*H4</f>
        <v>5.8181818181818182E-2</v>
      </c>
      <c r="I5" s="23">
        <f>($K$5/$K$4)*I4</f>
        <v>1.3818181818181818</v>
      </c>
      <c r="J5" s="141" t="s">
        <v>149</v>
      </c>
      <c r="K5" s="140">
        <v>1.44</v>
      </c>
    </row>
    <row r="6" spans="1:13" x14ac:dyDescent="0.2">
      <c r="A6" t="s">
        <v>15</v>
      </c>
      <c r="B6" s="136">
        <v>6000</v>
      </c>
      <c r="C6" s="137">
        <v>18000</v>
      </c>
      <c r="F6" s="13"/>
    </row>
    <row r="7" spans="1:13" x14ac:dyDescent="0.2">
      <c r="A7" t="s">
        <v>14</v>
      </c>
      <c r="B7" s="22">
        <f>B10*(B3/1000)</f>
        <v>375</v>
      </c>
      <c r="C7" s="22">
        <f>C3*(C10/1000)</f>
        <v>757.89473684210532</v>
      </c>
      <c r="G7" s="16"/>
      <c r="H7" s="16" t="s">
        <v>10</v>
      </c>
      <c r="I7" s="16" t="s">
        <v>11</v>
      </c>
    </row>
    <row r="8" spans="1:13" x14ac:dyDescent="0.2">
      <c r="A8" t="s">
        <v>17</v>
      </c>
      <c r="B8" s="18">
        <f>B6-B7</f>
        <v>5625</v>
      </c>
      <c r="C8" s="18">
        <f>C6-C7</f>
        <v>17242.105263157893</v>
      </c>
      <c r="G8" s="67" t="s">
        <v>8</v>
      </c>
      <c r="H8" s="46">
        <v>1</v>
      </c>
      <c r="I8" s="46">
        <v>3</v>
      </c>
    </row>
    <row r="9" spans="1:13" x14ac:dyDescent="0.2">
      <c r="A9" t="s">
        <v>74</v>
      </c>
      <c r="B9" s="50">
        <f>B6/(B4/1000)</f>
        <v>60000</v>
      </c>
      <c r="C9" s="50">
        <f>C6/(C4/1000)</f>
        <v>7200</v>
      </c>
      <c r="G9" s="20" t="s">
        <v>77</v>
      </c>
      <c r="H9" s="24">
        <f>H5/H8</f>
        <v>5.8181818181818182E-2</v>
      </c>
      <c r="I9" s="24">
        <f>I5/I8</f>
        <v>0.46060606060606063</v>
      </c>
      <c r="K9" s="83"/>
      <c r="L9" s="83"/>
      <c r="M9" s="83"/>
    </row>
    <row r="10" spans="1:13" x14ac:dyDescent="0.2">
      <c r="A10" t="s">
        <v>75</v>
      </c>
      <c r="B10" s="50">
        <f>B9/B11</f>
        <v>75000</v>
      </c>
      <c r="C10" s="50">
        <f>C9/C11</f>
        <v>7578.9473684210534</v>
      </c>
      <c r="G10" s="20" t="s">
        <v>78</v>
      </c>
      <c r="H10" s="48">
        <f>B6</f>
        <v>6000</v>
      </c>
      <c r="I10" s="48">
        <f>C6</f>
        <v>18000</v>
      </c>
    </row>
    <row r="11" spans="1:13" x14ac:dyDescent="0.2">
      <c r="A11" t="s">
        <v>16</v>
      </c>
      <c r="B11" s="138">
        <v>0.8</v>
      </c>
      <c r="C11" s="138">
        <v>0.95</v>
      </c>
      <c r="E11" t="s">
        <v>148</v>
      </c>
      <c r="G11" s="45" t="s">
        <v>79</v>
      </c>
      <c r="H11" s="49">
        <f>H10*H9</f>
        <v>349.09090909090907</v>
      </c>
      <c r="I11" s="49">
        <f>I10*I9</f>
        <v>8290.9090909090919</v>
      </c>
    </row>
    <row r="12" spans="1:13" x14ac:dyDescent="0.2">
      <c r="A12" t="s">
        <v>81</v>
      </c>
      <c r="B12" s="139">
        <v>60</v>
      </c>
      <c r="C12" s="139">
        <v>180</v>
      </c>
      <c r="E12" s="15">
        <f>SUM(B12:D12)</f>
        <v>240</v>
      </c>
      <c r="F12" s="28"/>
      <c r="G12" s="24"/>
      <c r="H12" s="25"/>
      <c r="I12" s="26"/>
    </row>
    <row r="13" spans="1:13" x14ac:dyDescent="0.2">
      <c r="G13" s="76" t="s">
        <v>101</v>
      </c>
      <c r="H13" s="77">
        <f>B10*H9</f>
        <v>4363.636363636364</v>
      </c>
      <c r="I13" s="77">
        <f>C10*I9</f>
        <v>3490.9090909090914</v>
      </c>
    </row>
    <row r="14" spans="1:13" x14ac:dyDescent="0.2">
      <c r="A14" s="100" t="s">
        <v>80</v>
      </c>
      <c r="B14" s="100"/>
      <c r="C14" s="100"/>
      <c r="G14" s="78" t="s">
        <v>102</v>
      </c>
      <c r="H14" s="79">
        <f>B9*H9</f>
        <v>3490.909090909091</v>
      </c>
      <c r="I14" s="79">
        <f>C9*I9</f>
        <v>3316.3636363636365</v>
      </c>
      <c r="K14" s="21"/>
    </row>
    <row r="15" spans="1:13" x14ac:dyDescent="0.2">
      <c r="A15" t="s">
        <v>4</v>
      </c>
      <c r="B15" s="139">
        <v>1.2</v>
      </c>
      <c r="C15" s="139">
        <v>1.7</v>
      </c>
      <c r="H15" s="21"/>
      <c r="I15" s="21"/>
      <c r="J15" s="21"/>
    </row>
    <row r="16" spans="1:13" x14ac:dyDescent="0.2">
      <c r="A16" t="s">
        <v>68</v>
      </c>
      <c r="B16" s="63">
        <f>B15*B8</f>
        <v>6750</v>
      </c>
      <c r="C16" s="63">
        <f>C15*C8</f>
        <v>29311.578947368416</v>
      </c>
      <c r="E16" s="5"/>
    </row>
    <row r="17" spans="1:26" x14ac:dyDescent="0.2">
      <c r="A17" t="s">
        <v>69</v>
      </c>
      <c r="B17" s="19">
        <f>100*(B16/B6/B12)</f>
        <v>1.875</v>
      </c>
      <c r="C17" s="19">
        <f>100*(C16/C6/C12)</f>
        <v>0.90467836257309941</v>
      </c>
      <c r="K17" s="21"/>
    </row>
    <row r="18" spans="1:26" x14ac:dyDescent="0.2">
      <c r="A18" t="s">
        <v>127</v>
      </c>
      <c r="B18" s="19">
        <f>B16/B12</f>
        <v>112.5</v>
      </c>
      <c r="C18" s="19">
        <f>C16/C12</f>
        <v>162.84210526315786</v>
      </c>
      <c r="K18" s="21"/>
    </row>
    <row r="19" spans="1:26" x14ac:dyDescent="0.2">
      <c r="A19" t="s">
        <v>13</v>
      </c>
      <c r="B19" s="17">
        <f>360/B12</f>
        <v>6</v>
      </c>
      <c r="C19" s="17">
        <f>360/C12</f>
        <v>2</v>
      </c>
      <c r="H19" s="86"/>
      <c r="I19" s="86"/>
      <c r="J19" s="86"/>
    </row>
    <row r="20" spans="1:26" x14ac:dyDescent="0.2">
      <c r="A20" s="1"/>
      <c r="B20" s="65">
        <f>B12/SUM($B$12:$C$12)</f>
        <v>0.25</v>
      </c>
      <c r="C20" s="65">
        <f>C12/SUM($B$12:$C$12)</f>
        <v>0.75</v>
      </c>
      <c r="O20" s="16" t="s">
        <v>88</v>
      </c>
      <c r="P20" s="16" t="s">
        <v>131</v>
      </c>
    </row>
    <row r="21" spans="1:26" x14ac:dyDescent="0.2">
      <c r="A21" s="2"/>
      <c r="B21" s="15"/>
      <c r="C21" s="87"/>
      <c r="D21" s="87"/>
      <c r="O21" s="72">
        <f>SUM(J29:N29)</f>
        <v>24872.727272727276</v>
      </c>
      <c r="P21" s="72">
        <f>SUM(O29:Z29)</f>
        <v>49745.454545454544</v>
      </c>
    </row>
    <row r="23" spans="1:26" x14ac:dyDescent="0.2">
      <c r="B23" s="66">
        <v>42686</v>
      </c>
      <c r="C23" s="66">
        <f>B23+30</f>
        <v>42716</v>
      </c>
      <c r="D23" s="66">
        <f t="shared" ref="D23:N23" si="0">C23+30</f>
        <v>42746</v>
      </c>
      <c r="E23" s="66">
        <f t="shared" si="0"/>
        <v>42776</v>
      </c>
      <c r="F23" s="66">
        <f t="shared" si="0"/>
        <v>42806</v>
      </c>
      <c r="G23" s="66">
        <f t="shared" si="0"/>
        <v>42836</v>
      </c>
      <c r="H23" s="66">
        <f t="shared" si="0"/>
        <v>42866</v>
      </c>
      <c r="I23" s="66">
        <f t="shared" si="0"/>
        <v>42896</v>
      </c>
      <c r="J23" s="66">
        <f t="shared" si="0"/>
        <v>42926</v>
      </c>
      <c r="K23" s="66">
        <f t="shared" si="0"/>
        <v>42956</v>
      </c>
      <c r="L23" s="66">
        <f t="shared" si="0"/>
        <v>42986</v>
      </c>
      <c r="M23" s="66">
        <f t="shared" si="0"/>
        <v>43016</v>
      </c>
      <c r="N23" s="66">
        <f t="shared" si="0"/>
        <v>43046</v>
      </c>
      <c r="O23" s="66">
        <f t="shared" ref="O23:Z23" si="1">N23+30</f>
        <v>43076</v>
      </c>
      <c r="P23" s="66">
        <f t="shared" si="1"/>
        <v>43106</v>
      </c>
      <c r="Q23" s="66">
        <f t="shared" si="1"/>
        <v>43136</v>
      </c>
      <c r="R23" s="66">
        <f t="shared" si="1"/>
        <v>43166</v>
      </c>
      <c r="S23" s="66">
        <f t="shared" si="1"/>
        <v>43196</v>
      </c>
      <c r="T23" s="66">
        <f t="shared" si="1"/>
        <v>43226</v>
      </c>
      <c r="U23" s="66">
        <f t="shared" si="1"/>
        <v>43256</v>
      </c>
      <c r="V23" s="66">
        <f t="shared" si="1"/>
        <v>43286</v>
      </c>
      <c r="W23" s="66">
        <f t="shared" si="1"/>
        <v>43316</v>
      </c>
      <c r="X23" s="66">
        <f t="shared" si="1"/>
        <v>43346</v>
      </c>
      <c r="Y23" s="66">
        <f t="shared" si="1"/>
        <v>43376</v>
      </c>
      <c r="Z23" s="66">
        <f t="shared" si="1"/>
        <v>43406</v>
      </c>
    </row>
    <row r="24" spans="1:26" x14ac:dyDescent="0.2">
      <c r="A24" s="1" t="s">
        <v>87</v>
      </c>
      <c r="B24" s="16">
        <v>0</v>
      </c>
      <c r="C24" s="16">
        <f>B24+30</f>
        <v>30</v>
      </c>
      <c r="D24" s="16">
        <f t="shared" ref="D24:N24" si="2">C24+30</f>
        <v>60</v>
      </c>
      <c r="E24" s="16">
        <f t="shared" si="2"/>
        <v>90</v>
      </c>
      <c r="F24" s="16">
        <f t="shared" si="2"/>
        <v>120</v>
      </c>
      <c r="G24" s="16">
        <f t="shared" si="2"/>
        <v>150</v>
      </c>
      <c r="H24" s="16">
        <f t="shared" si="2"/>
        <v>180</v>
      </c>
      <c r="I24" s="16">
        <f t="shared" si="2"/>
        <v>210</v>
      </c>
      <c r="J24" s="16">
        <f t="shared" si="2"/>
        <v>240</v>
      </c>
      <c r="K24" s="16">
        <f t="shared" si="2"/>
        <v>270</v>
      </c>
      <c r="L24" s="16">
        <f t="shared" si="2"/>
        <v>300</v>
      </c>
      <c r="M24" s="16">
        <f t="shared" si="2"/>
        <v>330</v>
      </c>
      <c r="N24" s="16">
        <f t="shared" si="2"/>
        <v>360</v>
      </c>
      <c r="O24" s="16">
        <f t="shared" ref="O24:Z24" si="3">N24+30</f>
        <v>390</v>
      </c>
      <c r="P24" s="16">
        <f t="shared" si="3"/>
        <v>420</v>
      </c>
      <c r="Q24" s="16">
        <f t="shared" si="3"/>
        <v>450</v>
      </c>
      <c r="R24" s="16">
        <f t="shared" si="3"/>
        <v>480</v>
      </c>
      <c r="S24" s="16">
        <f t="shared" si="3"/>
        <v>510</v>
      </c>
      <c r="T24" s="16">
        <f t="shared" si="3"/>
        <v>540</v>
      </c>
      <c r="U24" s="16">
        <f t="shared" si="3"/>
        <v>570</v>
      </c>
      <c r="V24" s="16">
        <f t="shared" si="3"/>
        <v>600</v>
      </c>
      <c r="W24" s="16">
        <f t="shared" si="3"/>
        <v>630</v>
      </c>
      <c r="X24" s="16">
        <f t="shared" si="3"/>
        <v>660</v>
      </c>
      <c r="Y24" s="16">
        <f t="shared" si="3"/>
        <v>690</v>
      </c>
      <c r="Z24" s="16">
        <f t="shared" si="3"/>
        <v>720</v>
      </c>
    </row>
    <row r="25" spans="1:26" x14ac:dyDescent="0.2">
      <c r="A25" s="84" t="s">
        <v>109</v>
      </c>
      <c r="B25" s="69" t="s">
        <v>130</v>
      </c>
      <c r="C25" s="69"/>
      <c r="D25" s="69" t="s">
        <v>86</v>
      </c>
      <c r="E25" s="69"/>
      <c r="F25" s="69" t="s">
        <v>86</v>
      </c>
      <c r="G25" s="69"/>
      <c r="H25" s="69" t="s">
        <v>86</v>
      </c>
      <c r="I25" s="69"/>
      <c r="J25" s="69" t="s">
        <v>86</v>
      </c>
      <c r="K25" s="69"/>
      <c r="L25" s="69" t="s">
        <v>86</v>
      </c>
      <c r="M25" s="69"/>
      <c r="N25" s="69" t="s">
        <v>86</v>
      </c>
      <c r="O25" s="69"/>
      <c r="P25" s="69" t="s">
        <v>86</v>
      </c>
      <c r="Q25" s="69"/>
      <c r="R25" s="69" t="s">
        <v>86</v>
      </c>
      <c r="S25" s="69"/>
      <c r="T25" s="69" t="s">
        <v>86</v>
      </c>
      <c r="U25" s="69"/>
      <c r="V25" s="69" t="s">
        <v>86</v>
      </c>
      <c r="W25" s="69"/>
      <c r="X25" s="69" t="s">
        <v>86</v>
      </c>
      <c r="Y25" s="69"/>
      <c r="Z25" s="69" t="s">
        <v>86</v>
      </c>
    </row>
    <row r="26" spans="1:26" x14ac:dyDescent="0.2">
      <c r="A26" s="85" t="s">
        <v>110</v>
      </c>
      <c r="B26" s="70"/>
      <c r="C26" s="70"/>
      <c r="D26" s="70" t="s">
        <v>130</v>
      </c>
      <c r="E26" s="70"/>
      <c r="F26" s="70"/>
      <c r="G26" s="70"/>
      <c r="H26" s="70"/>
      <c r="I26" s="70"/>
      <c r="J26" s="70" t="s">
        <v>86</v>
      </c>
      <c r="K26" s="70"/>
      <c r="L26" s="70"/>
      <c r="M26" s="70"/>
      <c r="N26" s="70"/>
      <c r="O26" s="70"/>
      <c r="P26" s="70" t="s">
        <v>86</v>
      </c>
      <c r="Q26" s="70"/>
      <c r="R26" s="70"/>
      <c r="S26" s="70"/>
      <c r="T26" s="70"/>
      <c r="U26" s="70"/>
      <c r="V26" s="70" t="s">
        <v>86</v>
      </c>
      <c r="W26" s="70"/>
      <c r="X26" s="70"/>
      <c r="Y26" s="70"/>
      <c r="Z26" s="70"/>
    </row>
    <row r="27" spans="1:26" x14ac:dyDescent="0.2">
      <c r="A27" s="85" t="s">
        <v>128</v>
      </c>
      <c r="B27" s="70"/>
      <c r="C27" s="70"/>
      <c r="D27" s="70"/>
      <c r="E27" s="70"/>
      <c r="F27" s="70" t="s">
        <v>130</v>
      </c>
      <c r="G27" s="70"/>
      <c r="H27" s="70"/>
      <c r="I27" s="70"/>
      <c r="J27" s="70"/>
      <c r="K27" s="70"/>
      <c r="L27" s="70" t="s">
        <v>86</v>
      </c>
      <c r="M27" s="70"/>
      <c r="N27" s="70"/>
      <c r="O27" s="70"/>
      <c r="P27" s="70"/>
      <c r="Q27" s="70"/>
      <c r="R27" s="70" t="s">
        <v>86</v>
      </c>
      <c r="S27" s="70"/>
      <c r="T27" s="70"/>
      <c r="U27" s="70"/>
      <c r="V27" s="70"/>
      <c r="W27" s="70"/>
      <c r="X27" s="70" t="s">
        <v>86</v>
      </c>
      <c r="Y27" s="70"/>
      <c r="Z27" s="70"/>
    </row>
    <row r="28" spans="1:26" x14ac:dyDescent="0.2">
      <c r="A28" s="85" t="s">
        <v>129</v>
      </c>
      <c r="B28" s="70"/>
      <c r="C28" s="70"/>
      <c r="D28" s="70"/>
      <c r="E28" s="70"/>
      <c r="F28" s="70"/>
      <c r="G28" s="70"/>
      <c r="H28" s="70" t="s">
        <v>130</v>
      </c>
      <c r="I28" s="70"/>
      <c r="J28" s="70"/>
      <c r="K28" s="70"/>
      <c r="L28" s="70"/>
      <c r="M28" s="70"/>
      <c r="N28" s="70" t="s">
        <v>86</v>
      </c>
      <c r="O28" s="70"/>
      <c r="P28" s="70"/>
      <c r="Q28" s="70"/>
      <c r="R28" s="70"/>
      <c r="S28" s="70"/>
      <c r="T28" s="70" t="s">
        <v>86</v>
      </c>
      <c r="U28" s="70"/>
      <c r="V28" s="70"/>
      <c r="W28" s="70"/>
      <c r="X28" s="70"/>
      <c r="Y28" s="70"/>
      <c r="Z28" s="70" t="s">
        <v>86</v>
      </c>
    </row>
    <row r="29" spans="1:26" x14ac:dyDescent="0.2">
      <c r="A29" s="6" t="s">
        <v>100</v>
      </c>
      <c r="B29" s="71">
        <f>COUNTA(B26:B28)*$J$11</f>
        <v>0</v>
      </c>
      <c r="C29" s="71">
        <f t="shared" ref="C29:I29" si="4">COUNTA(C27:C28)*$J$11</f>
        <v>0</v>
      </c>
      <c r="D29" s="71">
        <f t="shared" si="4"/>
        <v>0</v>
      </c>
      <c r="E29" s="71">
        <f t="shared" si="4"/>
        <v>0</v>
      </c>
      <c r="F29" s="71">
        <f t="shared" si="4"/>
        <v>0</v>
      </c>
      <c r="G29" s="71">
        <f t="shared" si="4"/>
        <v>0</v>
      </c>
      <c r="H29" s="71">
        <f t="shared" si="4"/>
        <v>0</v>
      </c>
      <c r="I29" s="71">
        <f t="shared" si="4"/>
        <v>0</v>
      </c>
      <c r="J29" s="71">
        <f>COUNTA(J26:J28)*$I$11</f>
        <v>8290.9090909090919</v>
      </c>
      <c r="K29" s="71">
        <f t="shared" ref="K29:Y29" si="5">COUNTA(K26:K28)*$I$11</f>
        <v>0</v>
      </c>
      <c r="L29" s="71">
        <f>COUNTA(L26:L28)*$I$11</f>
        <v>8290.9090909090919</v>
      </c>
      <c r="M29" s="71">
        <f t="shared" si="5"/>
        <v>0</v>
      </c>
      <c r="N29" s="71">
        <f t="shared" si="5"/>
        <v>8290.9090909090919</v>
      </c>
      <c r="O29" s="71">
        <f t="shared" si="5"/>
        <v>0</v>
      </c>
      <c r="P29" s="71">
        <f>COUNTA(P26:P28)*$I$11</f>
        <v>8290.9090909090919</v>
      </c>
      <c r="Q29" s="71">
        <f t="shared" si="5"/>
        <v>0</v>
      </c>
      <c r="R29" s="71">
        <f t="shared" si="5"/>
        <v>8290.9090909090919</v>
      </c>
      <c r="S29" s="71">
        <f t="shared" si="5"/>
        <v>0</v>
      </c>
      <c r="T29" s="71">
        <f t="shared" si="5"/>
        <v>8290.9090909090919</v>
      </c>
      <c r="U29" s="71">
        <f t="shared" si="5"/>
        <v>0</v>
      </c>
      <c r="V29" s="71">
        <f t="shared" si="5"/>
        <v>8290.9090909090919</v>
      </c>
      <c r="W29" s="71">
        <f t="shared" si="5"/>
        <v>0</v>
      </c>
      <c r="X29" s="71">
        <f t="shared" si="5"/>
        <v>8290.9090909090919</v>
      </c>
      <c r="Y29" s="71">
        <f t="shared" si="5"/>
        <v>0</v>
      </c>
      <c r="Z29" s="71">
        <f>COUNTA(Z26:Z28)*$I$11</f>
        <v>8290.9090909090919</v>
      </c>
    </row>
  </sheetData>
  <mergeCells count="3">
    <mergeCell ref="F3:G3"/>
    <mergeCell ref="F1:J1"/>
    <mergeCell ref="A1:C1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16" zoomScale="130" zoomScaleNormal="130" workbookViewId="0">
      <selection activeCell="E34" sqref="E34"/>
    </sheetView>
  </sheetViews>
  <sheetFormatPr defaultRowHeight="12.75" x14ac:dyDescent="0.2"/>
  <cols>
    <col min="1" max="1" width="26.7109375" style="30" bestFit="1" customWidth="1"/>
    <col min="2" max="2" width="14.5703125" style="30" bestFit="1" customWidth="1"/>
    <col min="3" max="3" width="10.42578125" style="30" bestFit="1" customWidth="1"/>
    <col min="4" max="4" width="13" style="30" bestFit="1" customWidth="1"/>
    <col min="5" max="5" width="16" style="30" bestFit="1" customWidth="1"/>
    <col min="6" max="6" width="9.140625" style="30"/>
    <col min="7" max="7" width="12.28515625" style="30" customWidth="1"/>
    <col min="8" max="8" width="12.140625" style="30" customWidth="1"/>
    <col min="9" max="9" width="9.140625" style="30"/>
    <col min="10" max="10" width="11.28515625" style="30" bestFit="1" customWidth="1"/>
    <col min="11" max="16384" width="9.140625" style="30"/>
  </cols>
  <sheetData>
    <row r="1" spans="1:5" x14ac:dyDescent="0.2">
      <c r="A1" s="153" t="s">
        <v>70</v>
      </c>
      <c r="B1" s="153"/>
      <c r="C1" s="153"/>
      <c r="D1" s="153"/>
      <c r="E1" s="153"/>
    </row>
    <row r="2" spans="1:5" x14ac:dyDescent="0.2">
      <c r="A2" s="31" t="s">
        <v>0</v>
      </c>
      <c r="B2" s="132" t="s">
        <v>20</v>
      </c>
      <c r="C2" s="40" t="s">
        <v>21</v>
      </c>
      <c r="D2" s="16" t="s">
        <v>8</v>
      </c>
      <c r="E2" s="40" t="s">
        <v>9</v>
      </c>
    </row>
    <row r="3" spans="1:5" x14ac:dyDescent="0.2">
      <c r="A3" s="30" t="s">
        <v>18</v>
      </c>
      <c r="B3" s="133" t="s">
        <v>90</v>
      </c>
      <c r="C3" s="120">
        <v>800</v>
      </c>
      <c r="D3" s="15">
        <v>12</v>
      </c>
      <c r="E3" s="41">
        <f>D3*C3</f>
        <v>9600</v>
      </c>
    </row>
    <row r="4" spans="1:5" x14ac:dyDescent="0.2">
      <c r="A4" s="30" t="s">
        <v>19</v>
      </c>
      <c r="B4" s="134">
        <f>1*Planejamento!K5</f>
        <v>1.44</v>
      </c>
      <c r="C4" s="120">
        <v>865.5</v>
      </c>
      <c r="D4" s="15">
        <v>13</v>
      </c>
      <c r="E4" s="41">
        <f>D4*C4</f>
        <v>11251.5</v>
      </c>
    </row>
    <row r="5" spans="1:5" x14ac:dyDescent="0.2">
      <c r="A5" s="30" t="s">
        <v>22</v>
      </c>
      <c r="B5" s="133" t="s">
        <v>90</v>
      </c>
      <c r="C5" s="56">
        <f>SUM('Investimento físico'!G15:I15)</f>
        <v>16286.55830769231</v>
      </c>
      <c r="D5" s="15">
        <v>1</v>
      </c>
      <c r="E5" s="41">
        <f>D5*C5</f>
        <v>16286.55830769231</v>
      </c>
    </row>
    <row r="6" spans="1:5" x14ac:dyDescent="0.2">
      <c r="A6" s="30" t="s">
        <v>103</v>
      </c>
      <c r="B6" s="133" t="s">
        <v>126</v>
      </c>
      <c r="C6" s="120">
        <v>3.09</v>
      </c>
      <c r="D6" s="56">
        <v>776.69902912621365</v>
      </c>
      <c r="E6" s="41">
        <f>D6*C6</f>
        <v>2400</v>
      </c>
    </row>
    <row r="7" spans="1:5" x14ac:dyDescent="0.2">
      <c r="A7" s="30" t="s">
        <v>23</v>
      </c>
      <c r="B7" s="133" t="s">
        <v>104</v>
      </c>
      <c r="C7" s="120">
        <v>0.11</v>
      </c>
      <c r="D7" s="56">
        <f>(9*(1110*'Investimento físico'!D6*30*12)/1000)+((7400*7*12)/1000)</f>
        <v>21336.863999999994</v>
      </c>
      <c r="E7" s="41">
        <f>D7*C7</f>
        <v>2347.0550399999993</v>
      </c>
    </row>
    <row r="8" spans="1:5" x14ac:dyDescent="0.2">
      <c r="A8" s="29" t="s">
        <v>29</v>
      </c>
      <c r="B8" s="42"/>
      <c r="C8" s="42"/>
      <c r="D8" s="42"/>
      <c r="E8" s="43">
        <f>SUM(E3:E7)</f>
        <v>41885.113347692306</v>
      </c>
    </row>
    <row r="10" spans="1:5" x14ac:dyDescent="0.2">
      <c r="A10" s="153" t="s">
        <v>71</v>
      </c>
      <c r="B10" s="153"/>
      <c r="C10" s="153"/>
      <c r="D10" s="153"/>
      <c r="E10" s="153"/>
    </row>
    <row r="11" spans="1:5" x14ac:dyDescent="0.2">
      <c r="A11" s="31" t="s">
        <v>0</v>
      </c>
      <c r="B11" s="132" t="s">
        <v>20</v>
      </c>
      <c r="C11" s="40" t="s">
        <v>21</v>
      </c>
      <c r="D11" s="16" t="s">
        <v>8</v>
      </c>
      <c r="E11" s="40" t="s">
        <v>9</v>
      </c>
    </row>
    <row r="12" spans="1:5" x14ac:dyDescent="0.2">
      <c r="A12" s="30" t="s">
        <v>40</v>
      </c>
      <c r="B12" s="133" t="s">
        <v>20</v>
      </c>
      <c r="C12" s="120">
        <v>0.25</v>
      </c>
      <c r="D12" s="54">
        <f>Planejamento!B19*Planejamento!H8*Planejamento!H13</f>
        <v>26181.818181818184</v>
      </c>
      <c r="E12" s="41">
        <f>D12*C12</f>
        <v>6545.454545454546</v>
      </c>
    </row>
    <row r="13" spans="1:5" x14ac:dyDescent="0.2">
      <c r="A13" s="143" t="s">
        <v>151</v>
      </c>
      <c r="B13" s="133" t="s">
        <v>89</v>
      </c>
      <c r="C13" s="120">
        <v>66</v>
      </c>
      <c r="D13" s="56">
        <f>Planejamento!B8*Planejamento!B15*Planejamento!B19*Planejamento!H5/25</f>
        <v>94.254545454545465</v>
      </c>
      <c r="E13" s="41">
        <f>D13*C13</f>
        <v>6220.8000000000011</v>
      </c>
    </row>
    <row r="14" spans="1:5" x14ac:dyDescent="0.2">
      <c r="A14" s="30" t="s">
        <v>46</v>
      </c>
      <c r="B14" s="133" t="s">
        <v>90</v>
      </c>
      <c r="C14" s="120">
        <v>60</v>
      </c>
      <c r="D14" s="55">
        <f>Planejamento!B19*6</f>
        <v>36</v>
      </c>
      <c r="E14" s="41">
        <f>D14*C14</f>
        <v>2160</v>
      </c>
    </row>
    <row r="15" spans="1:5" x14ac:dyDescent="0.2">
      <c r="A15" s="110" t="s">
        <v>140</v>
      </c>
      <c r="B15" s="133" t="s">
        <v>147</v>
      </c>
      <c r="C15" s="120">
        <v>70</v>
      </c>
      <c r="D15" s="68">
        <f>4*Planejamento!H5</f>
        <v>0.23272727272727273</v>
      </c>
      <c r="E15" s="41">
        <f>D15*C15</f>
        <v>16.290909090909089</v>
      </c>
    </row>
    <row r="16" spans="1:5" x14ac:dyDescent="0.2">
      <c r="A16" s="29" t="s">
        <v>29</v>
      </c>
      <c r="B16" s="31"/>
      <c r="C16" s="31"/>
      <c r="D16" s="31"/>
      <c r="E16" s="33">
        <f>SUM(E12:E15)</f>
        <v>14942.545454545456</v>
      </c>
    </row>
    <row r="18" spans="1:7" x14ac:dyDescent="0.2">
      <c r="A18" s="153" t="s">
        <v>31</v>
      </c>
      <c r="B18" s="153"/>
      <c r="C18" s="153"/>
      <c r="D18" s="29" t="s">
        <v>32</v>
      </c>
      <c r="E18" s="34">
        <f>Planejamento!B20</f>
        <v>0.25</v>
      </c>
    </row>
    <row r="19" spans="1:7" x14ac:dyDescent="0.2">
      <c r="A19" s="127" t="s">
        <v>144</v>
      </c>
      <c r="B19" s="44">
        <f>Planejamento!B9*Planejamento!H5*Planejamento!B19</f>
        <v>20945.454545454544</v>
      </c>
      <c r="C19" s="151" t="s">
        <v>36</v>
      </c>
      <c r="D19" s="151"/>
      <c r="E19" s="30">
        <v>0</v>
      </c>
    </row>
    <row r="20" spans="1:7" x14ac:dyDescent="0.2">
      <c r="A20" s="36" t="s">
        <v>33</v>
      </c>
      <c r="B20" s="32">
        <f>E18*$E$8+E16</f>
        <v>25413.823791468531</v>
      </c>
      <c r="C20" s="152" t="s">
        <v>37</v>
      </c>
      <c r="D20" s="152"/>
      <c r="E20" s="142">
        <v>0</v>
      </c>
    </row>
    <row r="21" spans="1:7" x14ac:dyDescent="0.2">
      <c r="A21" s="37" t="s">
        <v>34</v>
      </c>
      <c r="B21" s="33">
        <f>B20/B19</f>
        <v>1.2133336011551816</v>
      </c>
      <c r="C21" s="153" t="s">
        <v>35</v>
      </c>
      <c r="D21" s="153"/>
      <c r="E21" s="33">
        <f>B21/(1-(E19+E20))</f>
        <v>1.2133336011551816</v>
      </c>
    </row>
    <row r="22" spans="1:7" x14ac:dyDescent="0.2">
      <c r="G22" s="32"/>
    </row>
    <row r="23" spans="1:7" x14ac:dyDescent="0.2">
      <c r="A23" s="153" t="s">
        <v>72</v>
      </c>
      <c r="B23" s="153"/>
      <c r="C23" s="153"/>
      <c r="D23" s="153"/>
      <c r="E23" s="153"/>
    </row>
    <row r="24" spans="1:7" x14ac:dyDescent="0.2">
      <c r="A24" s="31" t="s">
        <v>0</v>
      </c>
      <c r="B24" s="132" t="s">
        <v>20</v>
      </c>
      <c r="C24" s="40" t="s">
        <v>21</v>
      </c>
      <c r="D24" s="16" t="s">
        <v>8</v>
      </c>
      <c r="E24" s="40" t="s">
        <v>9</v>
      </c>
    </row>
    <row r="25" spans="1:7" x14ac:dyDescent="0.2">
      <c r="A25" s="127" t="s">
        <v>145</v>
      </c>
      <c r="B25" s="133" t="s">
        <v>20</v>
      </c>
      <c r="C25" s="56">
        <f>E21</f>
        <v>1.2133336011551816</v>
      </c>
      <c r="D25" s="54">
        <f>Planejamento!C10*Planejamento!I5*Planejamento!C19</f>
        <v>20945.454545454548</v>
      </c>
      <c r="E25" s="41">
        <f>D25*C25</f>
        <v>25413.823791468534</v>
      </c>
    </row>
    <row r="26" spans="1:7" x14ac:dyDescent="0.2">
      <c r="A26" s="30" t="s">
        <v>82</v>
      </c>
      <c r="B26" s="133" t="s">
        <v>30</v>
      </c>
      <c r="C26" s="120">
        <v>47</v>
      </c>
      <c r="D26" s="56">
        <f>Planejamento!C8*Planejamento!C15*Planejamento!C19*Planejamento!I5/25</f>
        <v>3240.2618181818175</v>
      </c>
      <c r="E26" s="41">
        <f>D26*C26</f>
        <v>152292.30545454542</v>
      </c>
    </row>
    <row r="27" spans="1:7" x14ac:dyDescent="0.2">
      <c r="A27" s="30" t="s">
        <v>46</v>
      </c>
      <c r="B27" s="133" t="s">
        <v>90</v>
      </c>
      <c r="C27" s="120">
        <v>60</v>
      </c>
      <c r="D27" s="56">
        <f>Planejamento!C19*Planejamento!I8*3</f>
        <v>18</v>
      </c>
      <c r="E27" s="41">
        <f>D27*C27</f>
        <v>1080</v>
      </c>
    </row>
    <row r="28" spans="1:7" x14ac:dyDescent="0.2">
      <c r="A28" s="110" t="s">
        <v>140</v>
      </c>
      <c r="B28" s="133" t="s">
        <v>147</v>
      </c>
      <c r="C28" s="120">
        <v>70</v>
      </c>
      <c r="D28" s="68">
        <f>4*Planejamento!I5</f>
        <v>5.5272727272727273</v>
      </c>
      <c r="E28" s="41">
        <f>D28*C28</f>
        <v>386.90909090909093</v>
      </c>
    </row>
    <row r="29" spans="1:7" x14ac:dyDescent="0.2">
      <c r="A29" s="29" t="s">
        <v>29</v>
      </c>
      <c r="B29" s="31"/>
      <c r="C29" s="31"/>
      <c r="D29" s="31"/>
      <c r="E29" s="33">
        <f>SUM(E25:E28)</f>
        <v>179173.03833692305</v>
      </c>
    </row>
    <row r="31" spans="1:7" x14ac:dyDescent="0.2">
      <c r="A31" s="153" t="s">
        <v>38</v>
      </c>
      <c r="B31" s="153"/>
      <c r="C31" s="153"/>
      <c r="D31" s="29" t="s">
        <v>32</v>
      </c>
      <c r="E31" s="34">
        <f>Planejamento!C20</f>
        <v>0.75</v>
      </c>
    </row>
    <row r="32" spans="1:7" x14ac:dyDescent="0.2">
      <c r="A32" s="127" t="s">
        <v>146</v>
      </c>
      <c r="B32" s="44">
        <f>Planejamento!P21</f>
        <v>49745.454545454544</v>
      </c>
      <c r="C32" s="151" t="s">
        <v>36</v>
      </c>
      <c r="D32" s="151"/>
    </row>
    <row r="33" spans="1:5" x14ac:dyDescent="0.2">
      <c r="A33" s="36" t="s">
        <v>33</v>
      </c>
      <c r="B33" s="32">
        <f>E31*$E$8+E29</f>
        <v>210586.87334769228</v>
      </c>
      <c r="C33" s="152" t="s">
        <v>37</v>
      </c>
      <c r="D33" s="152"/>
      <c r="E33" s="121">
        <v>0.4173377596044644</v>
      </c>
    </row>
    <row r="34" spans="1:5" x14ac:dyDescent="0.2">
      <c r="A34" s="37" t="s">
        <v>34</v>
      </c>
      <c r="B34" s="33">
        <f>B33/B32</f>
        <v>4.2332887551619427</v>
      </c>
      <c r="C34" s="153" t="s">
        <v>35</v>
      </c>
      <c r="D34" s="153"/>
      <c r="E34" s="33">
        <f>B34+(B34*E33)</f>
        <v>6</v>
      </c>
    </row>
    <row r="37" spans="1:5" x14ac:dyDescent="0.2">
      <c r="D37" s="38"/>
    </row>
    <row r="38" spans="1:5" x14ac:dyDescent="0.2">
      <c r="A38" s="35" t="s">
        <v>39</v>
      </c>
      <c r="B38" s="35"/>
      <c r="C38" s="35" t="s">
        <v>42</v>
      </c>
      <c r="D38" s="14">
        <f>E34*B32</f>
        <v>298472.72727272729</v>
      </c>
    </row>
    <row r="39" spans="1:5" x14ac:dyDescent="0.2">
      <c r="A39" s="38" t="s">
        <v>0</v>
      </c>
      <c r="B39" s="59" t="s">
        <v>41</v>
      </c>
      <c r="C39" s="45" t="s">
        <v>43</v>
      </c>
      <c r="D39" s="45" t="s">
        <v>44</v>
      </c>
    </row>
    <row r="40" spans="1:5" x14ac:dyDescent="0.2">
      <c r="A40" s="30" t="str">
        <f>A3</f>
        <v>Pro-labore</v>
      </c>
      <c r="B40" s="74">
        <f>E3</f>
        <v>9600</v>
      </c>
      <c r="C40" s="73">
        <f t="shared" ref="C40:C48" si="0">B40/$B$49</f>
        <v>4.5586887004821955E-2</v>
      </c>
      <c r="D40" s="73">
        <f t="shared" ref="D40:D47" si="1">B40/$D$38</f>
        <v>3.2163742690058478E-2</v>
      </c>
    </row>
    <row r="41" spans="1:5" x14ac:dyDescent="0.2">
      <c r="A41" s="30" t="str">
        <f>A4</f>
        <v>Mão de obra</v>
      </c>
      <c r="B41" s="74">
        <f>E4</f>
        <v>11251.5</v>
      </c>
      <c r="C41" s="73">
        <f t="shared" si="0"/>
        <v>5.342925615987023E-2</v>
      </c>
      <c r="D41" s="73">
        <f t="shared" si="1"/>
        <v>3.7696911549707598E-2</v>
      </c>
    </row>
    <row r="42" spans="1:5" x14ac:dyDescent="0.2">
      <c r="A42" s="30" t="str">
        <f>A5</f>
        <v>DMS</v>
      </c>
      <c r="B42" s="74">
        <f>E5</f>
        <v>16286.55830769231</v>
      </c>
      <c r="C42" s="73">
        <f t="shared" si="0"/>
        <v>7.7338905548980583E-2</v>
      </c>
      <c r="D42" s="73">
        <f t="shared" si="1"/>
        <v>5.4566319866171845E-2</v>
      </c>
    </row>
    <row r="43" spans="1:5" x14ac:dyDescent="0.2">
      <c r="A43" s="30" t="str">
        <f>A6</f>
        <v>Gasolina</v>
      </c>
      <c r="B43" s="74">
        <f>E6</f>
        <v>2400</v>
      </c>
      <c r="C43" s="73">
        <f t="shared" si="0"/>
        <v>1.1396721751205489E-2</v>
      </c>
      <c r="D43" s="73">
        <f t="shared" si="1"/>
        <v>8.0409356725146194E-3</v>
      </c>
    </row>
    <row r="44" spans="1:5" x14ac:dyDescent="0.2">
      <c r="A44" s="30" t="str">
        <f>A7</f>
        <v>Eletricidade</v>
      </c>
      <c r="B44" s="74">
        <f>E7</f>
        <v>2347.0550399999993</v>
      </c>
      <c r="C44" s="73">
        <f t="shared" si="0"/>
        <v>1.1145305510685191E-2</v>
      </c>
      <c r="D44" s="73">
        <f t="shared" si="1"/>
        <v>7.8635494152046754E-3</v>
      </c>
    </row>
    <row r="45" spans="1:5" x14ac:dyDescent="0.2">
      <c r="A45" s="30" t="str">
        <f>A12</f>
        <v>Alevinos 1g</v>
      </c>
      <c r="B45" s="74">
        <f>E12</f>
        <v>6545.454545454546</v>
      </c>
      <c r="C45" s="73">
        <f t="shared" si="0"/>
        <v>3.1081968412378608E-2</v>
      </c>
      <c r="D45" s="73">
        <f t="shared" si="1"/>
        <v>2.1929824561403508E-2</v>
      </c>
    </row>
    <row r="46" spans="1:5" x14ac:dyDescent="0.2">
      <c r="A46" s="30" t="str">
        <f>A13</f>
        <v>Ração 42%PB</v>
      </c>
      <c r="B46" s="74">
        <f>SUM(E13,E26)</f>
        <v>158513.10545454541</v>
      </c>
      <c r="C46" s="73">
        <f t="shared" si="0"/>
        <v>0.75272073199372791</v>
      </c>
      <c r="D46" s="73">
        <f t="shared" si="1"/>
        <v>0.53108070175438582</v>
      </c>
    </row>
    <row r="47" spans="1:5" x14ac:dyDescent="0.2">
      <c r="A47" s="30" t="str">
        <f>A14</f>
        <v>M.O. temporária</v>
      </c>
      <c r="B47" s="74">
        <f>SUM(E14,E27)</f>
        <v>3240</v>
      </c>
      <c r="C47" s="73">
        <f t="shared" si="0"/>
        <v>1.538557436412741E-2</v>
      </c>
      <c r="D47" s="73">
        <f t="shared" si="1"/>
        <v>1.0855263157894736E-2</v>
      </c>
    </row>
    <row r="48" spans="1:5" x14ac:dyDescent="0.2">
      <c r="A48" s="131" t="str">
        <f>A15</f>
        <v>Calcário dolomítico</v>
      </c>
      <c r="B48" s="74">
        <f>SUM(E15,E28)</f>
        <v>403.20000000000005</v>
      </c>
      <c r="C48" s="73">
        <f t="shared" si="0"/>
        <v>1.9146492542025224E-3</v>
      </c>
      <c r="D48" s="73">
        <f t="shared" ref="D48" si="2">B48/$D$38</f>
        <v>1.3508771929824563E-3</v>
      </c>
    </row>
    <row r="49" spans="1:4" x14ac:dyDescent="0.2">
      <c r="A49" s="29" t="s">
        <v>45</v>
      </c>
      <c r="B49" s="39">
        <f>SUM(B40:B48)</f>
        <v>210586.87334769228</v>
      </c>
      <c r="C49" s="47">
        <f>SUM(C40:C48)</f>
        <v>0.99999999999999989</v>
      </c>
      <c r="D49" s="75">
        <f>SUM(D40:D48)</f>
        <v>0.70554812586032367</v>
      </c>
    </row>
    <row r="50" spans="1:4" x14ac:dyDescent="0.2">
      <c r="A50" s="29" t="s">
        <v>107</v>
      </c>
      <c r="B50" s="39">
        <f>(B49/12)*(Planejamento!E12/30)</f>
        <v>140391.24889846152</v>
      </c>
    </row>
    <row r="52" spans="1:4" x14ac:dyDescent="0.2">
      <c r="B52" s="32"/>
    </row>
  </sheetData>
  <mergeCells count="11">
    <mergeCell ref="C32:D32"/>
    <mergeCell ref="C33:D33"/>
    <mergeCell ref="C34:D34"/>
    <mergeCell ref="A1:E1"/>
    <mergeCell ref="A10:E10"/>
    <mergeCell ref="A18:C18"/>
    <mergeCell ref="A31:C31"/>
    <mergeCell ref="C21:D21"/>
    <mergeCell ref="C19:D19"/>
    <mergeCell ref="C20:D20"/>
    <mergeCell ref="A23:E23"/>
  </mergeCells>
  <phoneticPr fontId="0" type="noConversion"/>
  <conditionalFormatting sqref="B40:B48">
    <cfRule type="dataBar" priority="1">
      <dataBar>
        <cfvo type="min"/>
        <cfvo type="max"/>
        <color rgb="FF008AEF"/>
      </dataBar>
    </cfRule>
  </conditionalFormatting>
  <pageMargins left="0.78740157499999996" right="0.78740157499999996" top="0.984251969" bottom="0.984251969" header="0.49212598499999999" footer="0.49212598499999999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="115" zoomScaleNormal="115" workbookViewId="0">
      <selection activeCell="E13" sqref="E13"/>
    </sheetView>
  </sheetViews>
  <sheetFormatPr defaultRowHeight="12.75" x14ac:dyDescent="0.2"/>
  <cols>
    <col min="1" max="1" width="13.28515625" bestFit="1" customWidth="1"/>
    <col min="2" max="2" width="18" bestFit="1" customWidth="1"/>
    <col min="3" max="3" width="16.140625" customWidth="1"/>
    <col min="4" max="4" width="18.42578125" bestFit="1" customWidth="1"/>
    <col min="5" max="5" width="12.28515625" bestFit="1" customWidth="1"/>
    <col min="6" max="7" width="11.140625" bestFit="1" customWidth="1"/>
    <col min="8" max="8" width="12.140625" bestFit="1" customWidth="1"/>
    <col min="9" max="10" width="13" bestFit="1" customWidth="1"/>
    <col min="11" max="11" width="12.140625" bestFit="1" customWidth="1"/>
    <col min="12" max="12" width="13.42578125" bestFit="1" customWidth="1"/>
    <col min="13" max="13" width="11.140625" bestFit="1" customWidth="1"/>
    <col min="14" max="14" width="11.28515625" bestFit="1" customWidth="1"/>
    <col min="20" max="21" width="12.140625" bestFit="1" customWidth="1"/>
    <col min="22" max="22" width="12.7109375" bestFit="1" customWidth="1"/>
    <col min="23" max="23" width="11.28515625" bestFit="1" customWidth="1"/>
  </cols>
  <sheetData>
    <row r="1" spans="1:24" x14ac:dyDescent="0.2">
      <c r="A1" s="102" t="s">
        <v>47</v>
      </c>
      <c r="B1" s="103" t="s">
        <v>49</v>
      </c>
      <c r="C1" s="104" t="s">
        <v>132</v>
      </c>
      <c r="D1" s="104" t="s">
        <v>143</v>
      </c>
      <c r="E1" s="103" t="s">
        <v>48</v>
      </c>
      <c r="F1" s="103" t="s">
        <v>50</v>
      </c>
      <c r="G1" s="103" t="s">
        <v>51</v>
      </c>
      <c r="H1" s="103" t="s">
        <v>52</v>
      </c>
      <c r="I1" s="103" t="s">
        <v>142</v>
      </c>
      <c r="J1" s="103" t="s">
        <v>73</v>
      </c>
      <c r="K1" s="105" t="s">
        <v>53</v>
      </c>
      <c r="L1" s="105" t="s">
        <v>54</v>
      </c>
      <c r="M1" s="105" t="s">
        <v>55</v>
      </c>
      <c r="N1" s="105" t="s">
        <v>56</v>
      </c>
      <c r="T1" s="11"/>
      <c r="U1" s="11"/>
      <c r="V1" s="11"/>
      <c r="W1" s="11"/>
      <c r="X1" s="11" t="s">
        <v>66</v>
      </c>
    </row>
    <row r="2" spans="1:24" x14ac:dyDescent="0.2">
      <c r="A2" s="82">
        <v>0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2"/>
      <c r="M2" s="53">
        <f>B17</f>
        <v>263407.14043692301</v>
      </c>
      <c r="N2" s="106">
        <f>-B17</f>
        <v>-263407.14043692301</v>
      </c>
      <c r="T2" s="12"/>
      <c r="U2" s="12" t="s">
        <v>56</v>
      </c>
      <c r="V2" s="12" t="s">
        <v>64</v>
      </c>
      <c r="W2" s="12" t="s">
        <v>65</v>
      </c>
      <c r="X2" s="12" t="s">
        <v>67</v>
      </c>
    </row>
    <row r="3" spans="1:24" x14ac:dyDescent="0.2">
      <c r="A3" s="82">
        <v>1</v>
      </c>
      <c r="B3" s="53">
        <f>'Custos e receitas'!E34*Planejamento!O21</f>
        <v>149236.36363636365</v>
      </c>
      <c r="C3" s="53"/>
      <c r="D3" s="53">
        <f>B3*7.5%</f>
        <v>11192.727272727274</v>
      </c>
      <c r="E3" s="53">
        <f>'Custos e receitas'!B33</f>
        <v>210586.87334769228</v>
      </c>
      <c r="F3" s="106">
        <f>B3-C3-E3-D3</f>
        <v>-72543.236984055911</v>
      </c>
      <c r="G3" s="53">
        <f>'Custos e receitas'!C5</f>
        <v>16286.55830769231</v>
      </c>
      <c r="H3" s="53">
        <f>F3-G3</f>
        <v>-88829.795291748218</v>
      </c>
      <c r="I3" s="53">
        <f>H3*$B$18</f>
        <v>-9442.6072395128358</v>
      </c>
      <c r="J3" s="53">
        <f>F3-G3-I3</f>
        <v>-79387.188052235375</v>
      </c>
      <c r="K3" s="53">
        <f>J3+G3</f>
        <v>-63100.629744543068</v>
      </c>
      <c r="L3" s="53">
        <f>M2+M3</f>
        <v>263407.14043692301</v>
      </c>
      <c r="M3" s="53"/>
      <c r="N3" s="106">
        <f>K3-M3</f>
        <v>-63100.629744543068</v>
      </c>
      <c r="T3" s="9">
        <f t="shared" ref="T3:T12" si="0">A2</f>
        <v>0</v>
      </c>
      <c r="U3" s="10">
        <f t="shared" ref="U3:U12" si="1">N2</f>
        <v>-263407.14043692301</v>
      </c>
      <c r="V3" s="10">
        <f>U3</f>
        <v>-263407.14043692301</v>
      </c>
      <c r="W3" s="107">
        <f>V3</f>
        <v>-263407.14043692301</v>
      </c>
      <c r="X3" s="10" t="str">
        <f>IF(SIGN(W3)&lt;&gt;SIGN(W4),ABS(W3)/(W3-W4)+T3,"")</f>
        <v/>
      </c>
    </row>
    <row r="4" spans="1:24" x14ac:dyDescent="0.2">
      <c r="A4" s="82">
        <v>2</v>
      </c>
      <c r="B4" s="53">
        <f>'Custos e receitas'!D38</f>
        <v>298472.72727272729</v>
      </c>
      <c r="C4" s="53"/>
      <c r="D4" s="53">
        <f t="shared" ref="D4:D12" si="2">B4*7.5%</f>
        <v>22385.454545454548</v>
      </c>
      <c r="E4" s="53">
        <f>E3</f>
        <v>210586.87334769228</v>
      </c>
      <c r="F4" s="106">
        <f t="shared" ref="F4:F12" si="3">B4-C4-E4-D4</f>
        <v>65500.399379580471</v>
      </c>
      <c r="G4" s="53">
        <f>G3</f>
        <v>16286.55830769231</v>
      </c>
      <c r="H4" s="53">
        <f t="shared" ref="H4:H12" si="4">F4-G4</f>
        <v>49213.841071888164</v>
      </c>
      <c r="I4" s="53">
        <f t="shared" ref="I4:I12" si="5">H4*$B$18</f>
        <v>5231.4313059417118</v>
      </c>
      <c r="J4" s="53">
        <f t="shared" ref="J4:J12" si="6">F4-G4-I4</f>
        <v>43982.409765946453</v>
      </c>
      <c r="K4" s="53">
        <f t="shared" ref="K4:K12" si="7">J4+G4</f>
        <v>60268.968073638767</v>
      </c>
      <c r="L4" s="53">
        <f>L3</f>
        <v>263407.14043692301</v>
      </c>
      <c r="M4" s="53">
        <f>L3-L4</f>
        <v>0</v>
      </c>
      <c r="N4" s="106">
        <f>K4-M4</f>
        <v>60268.968073638767</v>
      </c>
      <c r="T4" s="9">
        <f t="shared" si="0"/>
        <v>1</v>
      </c>
      <c r="U4" s="10">
        <f t="shared" si="1"/>
        <v>-63100.629744543068</v>
      </c>
      <c r="V4" s="10">
        <f>U4/(1+$D$18)^T4</f>
        <v>-57364.208858675513</v>
      </c>
      <c r="W4" s="107">
        <f>W3+V4</f>
        <v>-320771.34929559851</v>
      </c>
      <c r="X4" s="10" t="str">
        <f>IF(W4=0," ",IF(SIGN(W4)&lt;&gt;SIGN(W5),ABS(W4)/(W5-W4)+T4," "))</f>
        <v xml:space="preserve"> </v>
      </c>
    </row>
    <row r="5" spans="1:24" x14ac:dyDescent="0.2">
      <c r="A5" s="82">
        <v>3</v>
      </c>
      <c r="B5" s="53">
        <f>B4</f>
        <v>298472.72727272729</v>
      </c>
      <c r="C5" s="53"/>
      <c r="D5" s="53">
        <f t="shared" si="2"/>
        <v>22385.454545454548</v>
      </c>
      <c r="E5" s="53">
        <f>E4</f>
        <v>210586.87334769228</v>
      </c>
      <c r="F5" s="106">
        <f t="shared" si="3"/>
        <v>65500.399379580471</v>
      </c>
      <c r="G5" s="53">
        <f>G4</f>
        <v>16286.55830769231</v>
      </c>
      <c r="H5" s="53">
        <f t="shared" si="4"/>
        <v>49213.841071888164</v>
      </c>
      <c r="I5" s="53">
        <f t="shared" si="5"/>
        <v>5231.4313059417118</v>
      </c>
      <c r="J5" s="53">
        <f t="shared" si="6"/>
        <v>43982.409765946453</v>
      </c>
      <c r="K5" s="53">
        <f t="shared" si="7"/>
        <v>60268.968073638767</v>
      </c>
      <c r="L5" s="53">
        <f>L4</f>
        <v>263407.14043692301</v>
      </c>
      <c r="M5" s="53">
        <f>L4-L5</f>
        <v>0</v>
      </c>
      <c r="N5" s="106">
        <f t="shared" ref="N5:N12" si="8">K5-M5</f>
        <v>60268.968073638767</v>
      </c>
      <c r="T5" s="9">
        <f t="shared" si="0"/>
        <v>2</v>
      </c>
      <c r="U5" s="10">
        <f t="shared" si="1"/>
        <v>60268.968073638767</v>
      </c>
      <c r="V5" s="10">
        <f t="shared" ref="U5:V13" si="9">U5/(1+$D$18)^T5</f>
        <v>49809.064523668392</v>
      </c>
      <c r="W5" s="107">
        <f t="shared" ref="W5:W12" si="10">W4+V5</f>
        <v>-270962.28477193014</v>
      </c>
      <c r="X5" s="10" t="str">
        <f t="shared" ref="X5:X11" si="11">IF(W5=0," ",IF(SIGN(W5)&lt;&gt;SIGN(W6),ABS(W5)/(W6-W5)+T5," "))</f>
        <v xml:space="preserve"> </v>
      </c>
    </row>
    <row r="6" spans="1:24" x14ac:dyDescent="0.2">
      <c r="A6" s="82">
        <v>4</v>
      </c>
      <c r="B6" s="53">
        <f t="shared" ref="B6:B12" si="12">B5</f>
        <v>298472.72727272729</v>
      </c>
      <c r="C6" s="53"/>
      <c r="D6" s="53">
        <f t="shared" si="2"/>
        <v>22385.454545454548</v>
      </c>
      <c r="E6" s="53">
        <f t="shared" ref="E6:E12" si="13">E5</f>
        <v>210586.87334769228</v>
      </c>
      <c r="F6" s="106">
        <f t="shared" si="3"/>
        <v>65500.399379580471</v>
      </c>
      <c r="G6" s="53">
        <f t="shared" ref="G6:G12" si="14">G5</f>
        <v>16286.55830769231</v>
      </c>
      <c r="H6" s="53">
        <f t="shared" si="4"/>
        <v>49213.841071888164</v>
      </c>
      <c r="I6" s="53">
        <f t="shared" si="5"/>
        <v>5231.4313059417118</v>
      </c>
      <c r="J6" s="53">
        <f t="shared" si="6"/>
        <v>43982.409765946453</v>
      </c>
      <c r="K6" s="53">
        <f t="shared" si="7"/>
        <v>60268.968073638767</v>
      </c>
      <c r="L6" s="53">
        <f t="shared" ref="L6:L12" si="15">L5</f>
        <v>263407.14043692301</v>
      </c>
      <c r="M6" s="53">
        <f t="shared" ref="M6:M11" si="16">L5-L6</f>
        <v>0</v>
      </c>
      <c r="N6" s="106">
        <f t="shared" si="8"/>
        <v>60268.968073638767</v>
      </c>
      <c r="T6" s="9">
        <f t="shared" si="0"/>
        <v>3</v>
      </c>
      <c r="U6" s="10">
        <f t="shared" si="1"/>
        <v>60268.968073638767</v>
      </c>
      <c r="V6" s="10">
        <f t="shared" si="9"/>
        <v>45280.967748789444</v>
      </c>
      <c r="W6" s="107">
        <f t="shared" si="10"/>
        <v>-225681.3170231407</v>
      </c>
      <c r="X6" s="10" t="str">
        <f t="shared" si="11"/>
        <v xml:space="preserve"> </v>
      </c>
    </row>
    <row r="7" spans="1:24" x14ac:dyDescent="0.2">
      <c r="A7" s="82">
        <v>5</v>
      </c>
      <c r="B7" s="53">
        <f t="shared" si="12"/>
        <v>298472.72727272729</v>
      </c>
      <c r="C7" s="53"/>
      <c r="D7" s="53">
        <f t="shared" si="2"/>
        <v>22385.454545454548</v>
      </c>
      <c r="E7" s="53">
        <f t="shared" si="13"/>
        <v>210586.87334769228</v>
      </c>
      <c r="F7" s="106">
        <f t="shared" si="3"/>
        <v>65500.399379580471</v>
      </c>
      <c r="G7" s="53">
        <f t="shared" si="14"/>
        <v>16286.55830769231</v>
      </c>
      <c r="H7" s="53">
        <f t="shared" si="4"/>
        <v>49213.841071888164</v>
      </c>
      <c r="I7" s="53">
        <f t="shared" si="5"/>
        <v>5231.4313059417118</v>
      </c>
      <c r="J7" s="53">
        <f t="shared" si="6"/>
        <v>43982.409765946453</v>
      </c>
      <c r="K7" s="53">
        <f t="shared" si="7"/>
        <v>60268.968073638767</v>
      </c>
      <c r="L7" s="53">
        <f t="shared" si="15"/>
        <v>263407.14043692301</v>
      </c>
      <c r="M7" s="53">
        <f t="shared" si="16"/>
        <v>0</v>
      </c>
      <c r="N7" s="106">
        <f t="shared" si="8"/>
        <v>60268.968073638767</v>
      </c>
      <c r="T7" s="9">
        <f t="shared" si="0"/>
        <v>4</v>
      </c>
      <c r="U7" s="10">
        <f t="shared" si="1"/>
        <v>60268.968073638767</v>
      </c>
      <c r="V7" s="10">
        <f t="shared" si="9"/>
        <v>41164.516135263133</v>
      </c>
      <c r="W7" s="107">
        <f t="shared" si="10"/>
        <v>-184516.80088787756</v>
      </c>
      <c r="X7" s="10" t="str">
        <f t="shared" si="11"/>
        <v xml:space="preserve"> </v>
      </c>
    </row>
    <row r="8" spans="1:24" x14ac:dyDescent="0.2">
      <c r="A8" s="82">
        <v>6</v>
      </c>
      <c r="B8" s="53">
        <f t="shared" si="12"/>
        <v>298472.72727272729</v>
      </c>
      <c r="C8" s="53"/>
      <c r="D8" s="53">
        <f t="shared" si="2"/>
        <v>22385.454545454548</v>
      </c>
      <c r="E8" s="53">
        <f t="shared" si="13"/>
        <v>210586.87334769228</v>
      </c>
      <c r="F8" s="106">
        <f t="shared" si="3"/>
        <v>65500.399379580471</v>
      </c>
      <c r="G8" s="53">
        <f t="shared" si="14"/>
        <v>16286.55830769231</v>
      </c>
      <c r="H8" s="53">
        <f t="shared" si="4"/>
        <v>49213.841071888164</v>
      </c>
      <c r="I8" s="53">
        <f t="shared" si="5"/>
        <v>5231.4313059417118</v>
      </c>
      <c r="J8" s="53">
        <f t="shared" si="6"/>
        <v>43982.409765946453</v>
      </c>
      <c r="K8" s="53">
        <f t="shared" si="7"/>
        <v>60268.968073638767</v>
      </c>
      <c r="L8" s="53">
        <f t="shared" si="15"/>
        <v>263407.14043692301</v>
      </c>
      <c r="M8" s="53">
        <f t="shared" si="16"/>
        <v>0</v>
      </c>
      <c r="N8" s="106">
        <f t="shared" si="8"/>
        <v>60268.968073638767</v>
      </c>
      <c r="T8" s="9">
        <f t="shared" si="0"/>
        <v>5</v>
      </c>
      <c r="U8" s="10">
        <f t="shared" si="1"/>
        <v>60268.968073638767</v>
      </c>
      <c r="V8" s="10">
        <f t="shared" si="9"/>
        <v>37422.287395693755</v>
      </c>
      <c r="W8" s="107">
        <f t="shared" si="10"/>
        <v>-147094.51349218382</v>
      </c>
      <c r="X8" s="10" t="str">
        <f t="shared" si="11"/>
        <v xml:space="preserve"> </v>
      </c>
    </row>
    <row r="9" spans="1:24" x14ac:dyDescent="0.2">
      <c r="A9" s="82">
        <v>7</v>
      </c>
      <c r="B9" s="53">
        <f t="shared" si="12"/>
        <v>298472.72727272729</v>
      </c>
      <c r="C9" s="53"/>
      <c r="D9" s="53">
        <f t="shared" si="2"/>
        <v>22385.454545454548</v>
      </c>
      <c r="E9" s="53">
        <f t="shared" si="13"/>
        <v>210586.87334769228</v>
      </c>
      <c r="F9" s="106">
        <f t="shared" si="3"/>
        <v>65500.399379580471</v>
      </c>
      <c r="G9" s="53">
        <f t="shared" si="14"/>
        <v>16286.55830769231</v>
      </c>
      <c r="H9" s="53">
        <f t="shared" si="4"/>
        <v>49213.841071888164</v>
      </c>
      <c r="I9" s="53">
        <f t="shared" si="5"/>
        <v>5231.4313059417118</v>
      </c>
      <c r="J9" s="53">
        <f t="shared" si="6"/>
        <v>43982.409765946453</v>
      </c>
      <c r="K9" s="53">
        <f t="shared" si="7"/>
        <v>60268.968073638767</v>
      </c>
      <c r="L9" s="53">
        <f t="shared" si="15"/>
        <v>263407.14043692301</v>
      </c>
      <c r="M9" s="53">
        <f t="shared" si="16"/>
        <v>0</v>
      </c>
      <c r="N9" s="106">
        <f t="shared" si="8"/>
        <v>60268.968073638767</v>
      </c>
      <c r="T9" s="9">
        <f t="shared" si="0"/>
        <v>6</v>
      </c>
      <c r="U9" s="10">
        <f t="shared" si="1"/>
        <v>60268.968073638767</v>
      </c>
      <c r="V9" s="10">
        <f t="shared" si="9"/>
        <v>34020.261268812501</v>
      </c>
      <c r="W9" s="107">
        <f>W8+V9</f>
        <v>-113074.25222337132</v>
      </c>
      <c r="X9" s="10" t="str">
        <f t="shared" si="11"/>
        <v xml:space="preserve"> </v>
      </c>
    </row>
    <row r="10" spans="1:24" x14ac:dyDescent="0.2">
      <c r="A10" s="82">
        <v>8</v>
      </c>
      <c r="B10" s="53">
        <f t="shared" si="12"/>
        <v>298472.72727272729</v>
      </c>
      <c r="C10" s="53"/>
      <c r="D10" s="53">
        <f t="shared" si="2"/>
        <v>22385.454545454548</v>
      </c>
      <c r="E10" s="53">
        <f t="shared" si="13"/>
        <v>210586.87334769228</v>
      </c>
      <c r="F10" s="106">
        <f t="shared" si="3"/>
        <v>65500.399379580471</v>
      </c>
      <c r="G10" s="53">
        <f t="shared" si="14"/>
        <v>16286.55830769231</v>
      </c>
      <c r="H10" s="53">
        <f t="shared" si="4"/>
        <v>49213.841071888164</v>
      </c>
      <c r="I10" s="53">
        <f t="shared" si="5"/>
        <v>5231.4313059417118</v>
      </c>
      <c r="J10" s="53">
        <f t="shared" si="6"/>
        <v>43982.409765946453</v>
      </c>
      <c r="K10" s="53">
        <f t="shared" si="7"/>
        <v>60268.968073638767</v>
      </c>
      <c r="L10" s="53">
        <f t="shared" si="15"/>
        <v>263407.14043692301</v>
      </c>
      <c r="M10" s="53">
        <f t="shared" si="16"/>
        <v>0</v>
      </c>
      <c r="N10" s="106">
        <f t="shared" si="8"/>
        <v>60268.968073638767</v>
      </c>
      <c r="T10" s="9">
        <f t="shared" si="0"/>
        <v>7</v>
      </c>
      <c r="U10" s="10">
        <f t="shared" si="1"/>
        <v>60268.968073638767</v>
      </c>
      <c r="V10" s="10">
        <f t="shared" si="9"/>
        <v>30927.510244374993</v>
      </c>
      <c r="W10" s="107">
        <f t="shared" si="10"/>
        <v>-82146.741978996331</v>
      </c>
      <c r="X10" s="10" t="str">
        <f t="shared" si="11"/>
        <v xml:space="preserve"> </v>
      </c>
    </row>
    <row r="11" spans="1:24" x14ac:dyDescent="0.2">
      <c r="A11" s="82">
        <v>9</v>
      </c>
      <c r="B11" s="53">
        <f t="shared" si="12"/>
        <v>298472.72727272729</v>
      </c>
      <c r="C11" s="53"/>
      <c r="D11" s="53">
        <f t="shared" si="2"/>
        <v>22385.454545454548</v>
      </c>
      <c r="E11" s="53">
        <f t="shared" si="13"/>
        <v>210586.87334769228</v>
      </c>
      <c r="F11" s="106">
        <f t="shared" si="3"/>
        <v>65500.399379580471</v>
      </c>
      <c r="G11" s="53">
        <f t="shared" si="14"/>
        <v>16286.55830769231</v>
      </c>
      <c r="H11" s="53">
        <f t="shared" si="4"/>
        <v>49213.841071888164</v>
      </c>
      <c r="I11" s="53">
        <f t="shared" si="5"/>
        <v>5231.4313059417118</v>
      </c>
      <c r="J11" s="53">
        <f t="shared" si="6"/>
        <v>43982.409765946453</v>
      </c>
      <c r="K11" s="53">
        <f t="shared" si="7"/>
        <v>60268.968073638767</v>
      </c>
      <c r="L11" s="53">
        <f t="shared" si="15"/>
        <v>263407.14043692301</v>
      </c>
      <c r="M11" s="53">
        <f t="shared" si="16"/>
        <v>0</v>
      </c>
      <c r="N11" s="106">
        <f t="shared" si="8"/>
        <v>60268.968073638767</v>
      </c>
      <c r="T11" s="9">
        <f t="shared" si="0"/>
        <v>8</v>
      </c>
      <c r="U11" s="10">
        <f t="shared" si="1"/>
        <v>60268.968073638767</v>
      </c>
      <c r="V11" s="10">
        <f t="shared" si="9"/>
        <v>28115.91840397727</v>
      </c>
      <c r="W11" s="107">
        <f t="shared" si="10"/>
        <v>-54030.823575019065</v>
      </c>
      <c r="X11" s="10" t="str">
        <f t="shared" si="11"/>
        <v xml:space="preserve"> </v>
      </c>
    </row>
    <row r="12" spans="1:24" x14ac:dyDescent="0.2">
      <c r="A12" s="82">
        <v>10</v>
      </c>
      <c r="B12" s="53">
        <f t="shared" si="12"/>
        <v>298472.72727272729</v>
      </c>
      <c r="C12" s="53"/>
      <c r="D12" s="53">
        <f t="shared" si="2"/>
        <v>22385.454545454548</v>
      </c>
      <c r="E12" s="53">
        <f t="shared" si="13"/>
        <v>210586.87334769228</v>
      </c>
      <c r="F12" s="106">
        <f t="shared" si="3"/>
        <v>65500.399379580471</v>
      </c>
      <c r="G12" s="53">
        <f t="shared" si="14"/>
        <v>16286.55830769231</v>
      </c>
      <c r="H12" s="53">
        <f t="shared" si="4"/>
        <v>49213.841071888164</v>
      </c>
      <c r="I12" s="53">
        <f t="shared" si="5"/>
        <v>5231.4313059417118</v>
      </c>
      <c r="J12" s="53">
        <f t="shared" si="6"/>
        <v>43982.409765946453</v>
      </c>
      <c r="K12" s="53">
        <f t="shared" si="7"/>
        <v>60268.968073638767</v>
      </c>
      <c r="L12" s="53">
        <f t="shared" si="15"/>
        <v>263407.14043692301</v>
      </c>
      <c r="M12" s="53">
        <f>-L11</f>
        <v>-263407.14043692301</v>
      </c>
      <c r="N12" s="106">
        <f t="shared" si="8"/>
        <v>323676.10851056175</v>
      </c>
      <c r="T12" s="9">
        <f t="shared" si="0"/>
        <v>9</v>
      </c>
      <c r="U12" s="10">
        <f t="shared" si="1"/>
        <v>60268.968073638767</v>
      </c>
      <c r="V12" s="10">
        <f t="shared" si="9"/>
        <v>25559.925821797515</v>
      </c>
      <c r="W12" s="107">
        <f t="shared" si="10"/>
        <v>-28470.89775322155</v>
      </c>
      <c r="X12" s="10">
        <f>IF(W12=0," ",IF(SIGN(W12)&lt;&gt;SIGN(V13),ABS(W12)/(V13-W12)+T12," "))</f>
        <v>9.2281483694286539</v>
      </c>
    </row>
    <row r="13" spans="1:24" x14ac:dyDescent="0.2">
      <c r="S13" s="9">
        <f>A12</f>
        <v>10</v>
      </c>
      <c r="T13" s="10">
        <f>N12</f>
        <v>323676.10851056175</v>
      </c>
      <c r="U13" s="10">
        <f t="shared" si="9"/>
        <v>124791.15158491195</v>
      </c>
      <c r="V13" s="107">
        <f>W12+U13</f>
        <v>96320.253831690396</v>
      </c>
      <c r="W13" s="10">
        <f>ROUND(MAX(X3:X12),2)</f>
        <v>9.23</v>
      </c>
    </row>
    <row r="14" spans="1:24" x14ac:dyDescent="0.2">
      <c r="U14" s="10"/>
    </row>
    <row r="15" spans="1:24" x14ac:dyDescent="0.2">
      <c r="A15" s="7" t="s">
        <v>58</v>
      </c>
      <c r="B15" s="60">
        <f>'Investimento físico'!E15</f>
        <v>123015.89153846151</v>
      </c>
      <c r="C15" s="8" t="s">
        <v>59</v>
      </c>
      <c r="D15" s="60">
        <f>NPV(D18,N3:N12)+N2</f>
        <v>96320.25383169041</v>
      </c>
    </row>
    <row r="16" spans="1:24" x14ac:dyDescent="0.2">
      <c r="A16" s="2" t="s">
        <v>57</v>
      </c>
      <c r="B16" s="58">
        <f>'Custos e receitas'!B50</f>
        <v>140391.24889846152</v>
      </c>
      <c r="C16" s="3" t="s">
        <v>60</v>
      </c>
      <c r="D16" s="129">
        <f>IRR(N2:N12,0.1)</f>
        <v>0.14810762753451834</v>
      </c>
    </row>
    <row r="17" spans="1:6" x14ac:dyDescent="0.2">
      <c r="A17" s="2" t="s">
        <v>63</v>
      </c>
      <c r="B17" s="58">
        <f>SUM(B15:B16)</f>
        <v>263407.14043692301</v>
      </c>
      <c r="C17" s="3" t="s">
        <v>61</v>
      </c>
      <c r="D17" s="26">
        <f>W13</f>
        <v>9.23</v>
      </c>
    </row>
    <row r="18" spans="1:6" x14ac:dyDescent="0.2">
      <c r="A18" s="2" t="s">
        <v>142</v>
      </c>
      <c r="B18" s="144">
        <v>0.10630000000000001</v>
      </c>
      <c r="C18" s="3" t="s">
        <v>62</v>
      </c>
      <c r="D18" s="145">
        <v>0.1</v>
      </c>
    </row>
    <row r="19" spans="1:6" x14ac:dyDescent="0.2">
      <c r="A19" s="4"/>
      <c r="B19" s="146"/>
      <c r="C19" s="147" t="s">
        <v>152</v>
      </c>
      <c r="D19" s="4">
        <f>('Custos e receitas'!E8/('Custos e receitas'!D38-SUM('Custos e receitas'!E16,'Custos e receitas'!E29))*100)</f>
        <v>40.136316451795508</v>
      </c>
      <c r="E19" s="53">
        <f>D19*B4/100</f>
        <v>119795.95834048638</v>
      </c>
      <c r="F19" s="53">
        <f>E19/'Custos e receitas'!E34</f>
        <v>19965.993056747731</v>
      </c>
    </row>
    <row r="23" spans="1:6" x14ac:dyDescent="0.2">
      <c r="A23" s="1"/>
      <c r="B23" s="109" t="s">
        <v>58</v>
      </c>
      <c r="C23" s="109" t="s">
        <v>57</v>
      </c>
      <c r="D23" s="109" t="s">
        <v>63</v>
      </c>
    </row>
    <row r="24" spans="1:6" x14ac:dyDescent="0.2">
      <c r="A24" s="1"/>
      <c r="B24" s="108">
        <f>'Fluxo de caixa'!B15</f>
        <v>123015.89153846151</v>
      </c>
      <c r="C24" s="108">
        <f>'Fluxo de caixa'!B16</f>
        <v>140391.24889846152</v>
      </c>
      <c r="D24" s="108">
        <f>'Fluxo de caixa'!B17</f>
        <v>263407.14043692301</v>
      </c>
    </row>
    <row r="25" spans="1:6" x14ac:dyDescent="0.2">
      <c r="A25" s="1" t="s">
        <v>135</v>
      </c>
      <c r="B25" s="130">
        <f>D18</f>
        <v>0.1</v>
      </c>
      <c r="C25" s="130">
        <f>B25</f>
        <v>0.1</v>
      </c>
      <c r="D25" s="130">
        <f>C25</f>
        <v>0.1</v>
      </c>
    </row>
    <row r="26" spans="1:6" x14ac:dyDescent="0.2">
      <c r="A26" s="1" t="s">
        <v>133</v>
      </c>
      <c r="B26" s="122">
        <v>9</v>
      </c>
      <c r="C26" s="109">
        <f>B26</f>
        <v>9</v>
      </c>
      <c r="D26" s="109">
        <f>C26</f>
        <v>9</v>
      </c>
    </row>
    <row r="27" spans="1:6" x14ac:dyDescent="0.2">
      <c r="A27" s="1" t="s">
        <v>136</v>
      </c>
      <c r="B27" s="108">
        <f>B24/B26</f>
        <v>13668.432393162389</v>
      </c>
      <c r="C27" s="108">
        <f>C24/C26</f>
        <v>15599.027655384612</v>
      </c>
      <c r="D27" s="108">
        <f>D24/D26</f>
        <v>29267.460048547</v>
      </c>
    </row>
    <row r="28" spans="1:6" x14ac:dyDescent="0.2">
      <c r="A28" s="1"/>
      <c r="C28" s="16" t="s">
        <v>134</v>
      </c>
      <c r="D28" s="1"/>
    </row>
    <row r="29" spans="1:6" x14ac:dyDescent="0.2">
      <c r="A29" s="1" t="s">
        <v>137</v>
      </c>
      <c r="B29" s="108">
        <f>B25*B24</f>
        <v>12301.589153846151</v>
      </c>
      <c r="C29" s="108">
        <f>C25*C24</f>
        <v>14039.124889846153</v>
      </c>
      <c r="D29" s="108">
        <f>D25*D24</f>
        <v>26340.714043692304</v>
      </c>
    </row>
    <row r="30" spans="1:6" x14ac:dyDescent="0.2">
      <c r="A30" s="123">
        <v>1</v>
      </c>
      <c r="B30" s="117">
        <f>B27+B25*B24</f>
        <v>25970.021547008539</v>
      </c>
      <c r="C30" s="117">
        <f>C27+C25*C24</f>
        <v>29638.152545230765</v>
      </c>
      <c r="D30" s="117">
        <f>D27+D25*D24</f>
        <v>55608.174092239307</v>
      </c>
    </row>
    <row r="31" spans="1:6" x14ac:dyDescent="0.2">
      <c r="A31" s="123">
        <v>2</v>
      </c>
      <c r="B31" s="117">
        <f>($B$24-A31*$B$27)*$B$25+$B$27</f>
        <v>23236.335068376065</v>
      </c>
      <c r="C31" s="117">
        <f>($C$24-A31*$C$27)*$C$25+$C$27</f>
        <v>26518.347014153842</v>
      </c>
      <c r="D31" s="117">
        <f>($D$24-A31*$D$27)*$D$25+$D$27</f>
        <v>49754.682082529907</v>
      </c>
    </row>
    <row r="32" spans="1:6" x14ac:dyDescent="0.2">
      <c r="A32" s="123">
        <v>3</v>
      </c>
      <c r="B32" s="117">
        <f>($B$24-A32*$B$27)*$B$25+$B$27</f>
        <v>21869.491829059822</v>
      </c>
      <c r="C32" s="117">
        <f>($C$24-A32*$C$27)*$C$25+$C$27</f>
        <v>24958.444248615382</v>
      </c>
      <c r="D32" s="117">
        <f>($D$24-A32*$D$27)*$D$25+$D$27</f>
        <v>46827.9360776752</v>
      </c>
    </row>
    <row r="33" spans="1:4" x14ac:dyDescent="0.2">
      <c r="A33" s="123">
        <v>4</v>
      </c>
      <c r="B33" s="117">
        <f t="shared" ref="B33:B38" si="17">($B$24-A33*$B$27)*$B$25+$B$27</f>
        <v>20502.648589743585</v>
      </c>
      <c r="C33" s="117">
        <f t="shared" ref="C33:C38" si="18">($C$24-A33*$C$27)*$C$25+$C$27</f>
        <v>23398.541483076919</v>
      </c>
      <c r="D33" s="117">
        <f t="shared" ref="D33:D38" si="19">($D$24-A33*$D$27)*$D$25+$D$27</f>
        <v>43901.1900728205</v>
      </c>
    </row>
    <row r="34" spans="1:4" x14ac:dyDescent="0.2">
      <c r="A34" s="123">
        <v>5</v>
      </c>
      <c r="B34" s="117">
        <f t="shared" si="17"/>
        <v>19135.805350427348</v>
      </c>
      <c r="C34" s="117">
        <f t="shared" si="18"/>
        <v>21838.638717538459</v>
      </c>
      <c r="D34" s="117">
        <f t="shared" si="19"/>
        <v>40974.4440679658</v>
      </c>
    </row>
    <row r="35" spans="1:4" x14ac:dyDescent="0.2">
      <c r="A35" s="123">
        <v>6</v>
      </c>
      <c r="B35" s="117">
        <f t="shared" si="17"/>
        <v>17768.962111111105</v>
      </c>
      <c r="C35" s="117">
        <f t="shared" si="18"/>
        <v>20278.735951999995</v>
      </c>
      <c r="D35" s="117">
        <f t="shared" si="19"/>
        <v>38047.6980631111</v>
      </c>
    </row>
    <row r="36" spans="1:4" x14ac:dyDescent="0.2">
      <c r="A36" s="123">
        <v>7</v>
      </c>
      <c r="B36" s="117">
        <f t="shared" si="17"/>
        <v>16402.118871794868</v>
      </c>
      <c r="C36" s="117">
        <f t="shared" si="18"/>
        <v>18718.833186461536</v>
      </c>
      <c r="D36" s="117">
        <f t="shared" si="19"/>
        <v>35120.9520582564</v>
      </c>
    </row>
    <row r="37" spans="1:4" x14ac:dyDescent="0.2">
      <c r="A37" s="123">
        <v>8</v>
      </c>
      <c r="B37" s="117">
        <f t="shared" si="17"/>
        <v>15035.27563247863</v>
      </c>
      <c r="C37" s="117">
        <f t="shared" si="18"/>
        <v>17158.930420923076</v>
      </c>
      <c r="D37" s="117">
        <f t="shared" si="19"/>
        <v>32194.2060534017</v>
      </c>
    </row>
    <row r="38" spans="1:4" x14ac:dyDescent="0.2">
      <c r="A38" s="123">
        <v>9</v>
      </c>
      <c r="B38" s="117">
        <f t="shared" si="17"/>
        <v>13668.432393162389</v>
      </c>
      <c r="C38" s="117">
        <f t="shared" si="18"/>
        <v>15599.027655384612</v>
      </c>
      <c r="D38" s="117">
        <f t="shared" si="19"/>
        <v>29267.460048547</v>
      </c>
    </row>
    <row r="39" spans="1:4" x14ac:dyDescent="0.2">
      <c r="A39" s="124"/>
      <c r="B39" s="125"/>
      <c r="C39" s="125"/>
      <c r="D39" s="125"/>
    </row>
  </sheetData>
  <phoneticPr fontId="0" type="noConversion"/>
  <conditionalFormatting sqref="D15">
    <cfRule type="expression" dxfId="0" priority="1">
      <formula>$D$15&lt;0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70" workbookViewId="0">
      <selection activeCell="E27" sqref="E27"/>
    </sheetView>
  </sheetViews>
  <sheetFormatPr defaultRowHeight="12.75" x14ac:dyDescent="0.2"/>
  <cols>
    <col min="1" max="1" width="9.28515625" bestFit="1" customWidth="1"/>
    <col min="2" max="3" width="11.85546875" bestFit="1" customWidth="1"/>
    <col min="4" max="4" width="12.140625" bestFit="1" customWidth="1"/>
    <col min="5" max="5" width="10.28515625" bestFit="1" customWidth="1"/>
    <col min="7" max="7" width="9.28515625" bestFit="1" customWidth="1"/>
    <col min="8" max="9" width="12.140625" bestFit="1" customWidth="1"/>
    <col min="10" max="10" width="12.5703125" bestFit="1" customWidth="1"/>
    <col min="11" max="11" width="9.28515625" bestFit="1" customWidth="1"/>
  </cols>
  <sheetData>
    <row r="1" spans="1:11" x14ac:dyDescent="0.2">
      <c r="E1" t="s">
        <v>93</v>
      </c>
      <c r="K1" s="11" t="s">
        <v>66</v>
      </c>
    </row>
    <row r="2" spans="1:11" x14ac:dyDescent="0.2">
      <c r="A2" s="7" t="s">
        <v>94</v>
      </c>
      <c r="B2" s="57">
        <v>5</v>
      </c>
      <c r="C2" s="57">
        <f>'Custos e receitas'!E34</f>
        <v>6</v>
      </c>
      <c r="D2" s="57">
        <v>6.8</v>
      </c>
      <c r="E2" s="64">
        <f>'Fluxo de caixa'!D18</f>
        <v>0.1</v>
      </c>
      <c r="H2" s="12" t="s">
        <v>56</v>
      </c>
      <c r="I2" s="12" t="s">
        <v>64</v>
      </c>
      <c r="J2" s="12" t="s">
        <v>65</v>
      </c>
      <c r="K2" s="12" t="s">
        <v>67</v>
      </c>
    </row>
    <row r="3" spans="1:11" x14ac:dyDescent="0.2">
      <c r="A3" s="2" t="s">
        <v>95</v>
      </c>
      <c r="B3" s="58">
        <f>Planejamento!P21</f>
        <v>49745.454545454544</v>
      </c>
      <c r="C3" s="58">
        <f>B3</f>
        <v>49745.454545454544</v>
      </c>
      <c r="D3" s="58">
        <f>C3</f>
        <v>49745.454545454544</v>
      </c>
      <c r="G3">
        <v>0</v>
      </c>
      <c r="H3" s="10">
        <f>'Fluxo de caixa'!N2</f>
        <v>-263407.14043692301</v>
      </c>
      <c r="I3" s="10">
        <f>H3</f>
        <v>-263407.14043692301</v>
      </c>
      <c r="J3" s="10">
        <f>I3</f>
        <v>-263407.14043692301</v>
      </c>
      <c r="K3" s="10" t="str">
        <f>IF(SIGN(J3)&lt;&gt;SIGN(J4),ABS(J3)/(J3-J4)+G3,"")</f>
        <v/>
      </c>
    </row>
    <row r="4" spans="1:11" x14ac:dyDescent="0.2">
      <c r="A4" s="4" t="s">
        <v>96</v>
      </c>
      <c r="B4" s="59">
        <f>B2*B3</f>
        <v>248727.27272727271</v>
      </c>
      <c r="C4" s="59">
        <f>C3*C2</f>
        <v>298472.72727272729</v>
      </c>
      <c r="D4" s="59">
        <f>D3*D2</f>
        <v>338269.09090909088</v>
      </c>
      <c r="G4">
        <v>1</v>
      </c>
      <c r="H4" s="10">
        <f t="shared" ref="H4:H13" si="0">B6</f>
        <v>-112846.08428999764</v>
      </c>
      <c r="I4" s="10">
        <f>H4/(1+$E$2)^G4</f>
        <v>-102587.3493545433</v>
      </c>
      <c r="J4" s="10">
        <f t="shared" ref="J4:J13" si="1">J3+I4</f>
        <v>-365994.48979146633</v>
      </c>
      <c r="K4" s="10" t="str">
        <f t="shared" ref="K4:K12" si="2">IF(J4=0," ",IF(SIGN(J4)&lt;&gt;SIGN(J5),ABS(J4)/(J5-J4)+G4," "))</f>
        <v xml:space="preserve"> </v>
      </c>
    </row>
    <row r="5" spans="1:11" x14ac:dyDescent="0.2">
      <c r="A5" s="15">
        <v>0</v>
      </c>
      <c r="B5" s="126">
        <f>C5</f>
        <v>-263407.14043692301</v>
      </c>
      <c r="C5" s="126">
        <f>'Fluxo de caixa'!N2</f>
        <v>-263407.14043692301</v>
      </c>
      <c r="D5" s="126">
        <f>C5</f>
        <v>-263407.14043692301</v>
      </c>
      <c r="G5">
        <v>2</v>
      </c>
      <c r="H5" s="10">
        <f t="shared" si="0"/>
        <v>10523.513528184179</v>
      </c>
      <c r="I5" s="10">
        <f t="shared" ref="I5:I13" si="3">H5/(1+$E$2)^G5</f>
        <v>8697.1186183340305</v>
      </c>
      <c r="J5" s="10">
        <f t="shared" si="1"/>
        <v>-357297.37117313233</v>
      </c>
      <c r="K5" s="10" t="str">
        <f t="shared" si="2"/>
        <v xml:space="preserve"> </v>
      </c>
    </row>
    <row r="6" spans="1:11" x14ac:dyDescent="0.2">
      <c r="A6" s="15">
        <v>1</v>
      </c>
      <c r="B6" s="126">
        <f>C6-'Fluxo de caixa'!B4+$B$4</f>
        <v>-112846.08428999764</v>
      </c>
      <c r="C6" s="126">
        <f>'Fluxo de caixa'!N3</f>
        <v>-63100.629744543068</v>
      </c>
      <c r="D6" s="126">
        <f>C6-'Fluxo de caixa'!B4+$D$4</f>
        <v>-23304.266108179465</v>
      </c>
      <c r="G6">
        <v>3</v>
      </c>
      <c r="H6" s="10">
        <f t="shared" si="0"/>
        <v>10523.513528184179</v>
      </c>
      <c r="I6" s="10">
        <f t="shared" si="3"/>
        <v>7906.4714712127543</v>
      </c>
      <c r="J6" s="10">
        <f t="shared" si="1"/>
        <v>-349390.89970191958</v>
      </c>
      <c r="K6" s="10" t="str">
        <f t="shared" si="2"/>
        <v xml:space="preserve"> </v>
      </c>
    </row>
    <row r="7" spans="1:11" x14ac:dyDescent="0.2">
      <c r="A7" s="15">
        <v>2</v>
      </c>
      <c r="B7" s="126">
        <f>C7-'Fluxo de caixa'!B5+$B$4</f>
        <v>10523.513528184179</v>
      </c>
      <c r="C7" s="126">
        <f>'Fluxo de caixa'!N4</f>
        <v>60268.968073638767</v>
      </c>
      <c r="D7" s="126">
        <f>C7-'Fluxo de caixa'!B5+$D$4</f>
        <v>100065.33171000236</v>
      </c>
      <c r="G7">
        <v>4</v>
      </c>
      <c r="H7" s="10">
        <f t="shared" si="0"/>
        <v>10523.513528184179</v>
      </c>
      <c r="I7" s="10">
        <f t="shared" si="3"/>
        <v>7187.701337466141</v>
      </c>
      <c r="J7" s="10">
        <f t="shared" si="1"/>
        <v>-342203.19836445345</v>
      </c>
      <c r="K7" s="10" t="str">
        <f t="shared" si="2"/>
        <v xml:space="preserve"> </v>
      </c>
    </row>
    <row r="8" spans="1:11" x14ac:dyDescent="0.2">
      <c r="A8" s="15">
        <v>3</v>
      </c>
      <c r="B8" s="126">
        <f>C8-'Fluxo de caixa'!B6+$B$4</f>
        <v>10523.513528184179</v>
      </c>
      <c r="C8" s="126">
        <f>'Fluxo de caixa'!N5</f>
        <v>60268.968073638767</v>
      </c>
      <c r="D8" s="126">
        <f>C8-'Fluxo de caixa'!B6+$D$4</f>
        <v>100065.33171000236</v>
      </c>
      <c r="G8">
        <v>5</v>
      </c>
      <c r="H8" s="10">
        <f t="shared" si="0"/>
        <v>10523.513528184179</v>
      </c>
      <c r="I8" s="10">
        <f t="shared" si="3"/>
        <v>6534.2739431510363</v>
      </c>
      <c r="J8" s="10">
        <f t="shared" si="1"/>
        <v>-335668.92442130239</v>
      </c>
      <c r="K8" s="10" t="str">
        <f t="shared" si="2"/>
        <v xml:space="preserve"> </v>
      </c>
    </row>
    <row r="9" spans="1:11" x14ac:dyDescent="0.2">
      <c r="A9" s="15">
        <v>4</v>
      </c>
      <c r="B9" s="126">
        <f>C9-'Fluxo de caixa'!B7+$B$4</f>
        <v>10523.513528184179</v>
      </c>
      <c r="C9" s="126">
        <f>'Fluxo de caixa'!N6</f>
        <v>60268.968073638767</v>
      </c>
      <c r="D9" s="126">
        <f>C9-'Fluxo de caixa'!B7+$D$4</f>
        <v>100065.33171000236</v>
      </c>
      <c r="G9">
        <v>6</v>
      </c>
      <c r="H9" s="10">
        <f t="shared" si="0"/>
        <v>10523.513528184179</v>
      </c>
      <c r="I9" s="10">
        <f t="shared" si="3"/>
        <v>5940.2490392282143</v>
      </c>
      <c r="J9" s="10">
        <f t="shared" si="1"/>
        <v>-329728.6753820742</v>
      </c>
      <c r="K9" s="10" t="str">
        <f t="shared" si="2"/>
        <v xml:space="preserve"> </v>
      </c>
    </row>
    <row r="10" spans="1:11" x14ac:dyDescent="0.2">
      <c r="A10" s="15">
        <v>5</v>
      </c>
      <c r="B10" s="126">
        <f>C10-'Fluxo de caixa'!B8+$B$4</f>
        <v>10523.513528184179</v>
      </c>
      <c r="C10" s="126">
        <f>'Fluxo de caixa'!N7</f>
        <v>60268.968073638767</v>
      </c>
      <c r="D10" s="126">
        <f>C10-'Fluxo de caixa'!B8+$D$4</f>
        <v>100065.33171000236</v>
      </c>
      <c r="G10">
        <v>7</v>
      </c>
      <c r="H10" s="10">
        <f t="shared" si="0"/>
        <v>10523.513528184179</v>
      </c>
      <c r="I10" s="10">
        <f t="shared" si="3"/>
        <v>5400.2263992983762</v>
      </c>
      <c r="J10" s="10">
        <f t="shared" si="1"/>
        <v>-324328.44898277585</v>
      </c>
      <c r="K10" s="10" t="str">
        <f t="shared" si="2"/>
        <v xml:space="preserve"> </v>
      </c>
    </row>
    <row r="11" spans="1:11" x14ac:dyDescent="0.2">
      <c r="A11" s="15">
        <v>6</v>
      </c>
      <c r="B11" s="126">
        <f>C11-'Fluxo de caixa'!B9+$B$4</f>
        <v>10523.513528184179</v>
      </c>
      <c r="C11" s="126">
        <f>'Fluxo de caixa'!N8</f>
        <v>60268.968073638767</v>
      </c>
      <c r="D11" s="126">
        <f>C11-'Fluxo de caixa'!B9+$D$4</f>
        <v>100065.33171000236</v>
      </c>
      <c r="G11">
        <v>8</v>
      </c>
      <c r="H11" s="10">
        <f t="shared" si="0"/>
        <v>10523.513528184179</v>
      </c>
      <c r="I11" s="10">
        <f t="shared" si="3"/>
        <v>4909.2967266348878</v>
      </c>
      <c r="J11" s="10">
        <f t="shared" si="1"/>
        <v>-319419.15225614095</v>
      </c>
      <c r="K11" s="10" t="str">
        <f t="shared" si="2"/>
        <v xml:space="preserve"> </v>
      </c>
    </row>
    <row r="12" spans="1:11" x14ac:dyDescent="0.2">
      <c r="A12" s="15">
        <v>7</v>
      </c>
      <c r="B12" s="126">
        <f>C12-'Fluxo de caixa'!B10+$B$4</f>
        <v>10523.513528184179</v>
      </c>
      <c r="C12" s="126">
        <f>'Fluxo de caixa'!N9</f>
        <v>60268.968073638767</v>
      </c>
      <c r="D12" s="126">
        <f>C12-'Fluxo de caixa'!B10+$D$4</f>
        <v>100065.33171000236</v>
      </c>
      <c r="G12">
        <v>9</v>
      </c>
      <c r="H12" s="10">
        <f t="shared" si="0"/>
        <v>10523.513528184179</v>
      </c>
      <c r="I12" s="10">
        <f t="shared" si="3"/>
        <v>4462.9970242135341</v>
      </c>
      <c r="J12" s="10">
        <f t="shared" si="1"/>
        <v>-314956.15523192741</v>
      </c>
      <c r="K12" s="10" t="str">
        <f t="shared" si="2"/>
        <v xml:space="preserve"> </v>
      </c>
    </row>
    <row r="13" spans="1:11" x14ac:dyDescent="0.2">
      <c r="A13" s="15">
        <v>8</v>
      </c>
      <c r="B13" s="126">
        <f>C13-'Fluxo de caixa'!B11+$B$4</f>
        <v>10523.513528184179</v>
      </c>
      <c r="C13" s="126">
        <f>'Fluxo de caixa'!N10</f>
        <v>60268.968073638767</v>
      </c>
      <c r="D13" s="126">
        <f>C13-'Fluxo de caixa'!B11+$D$4</f>
        <v>100065.33171000236</v>
      </c>
      <c r="G13">
        <v>10</v>
      </c>
      <c r="H13" s="10">
        <f t="shared" si="0"/>
        <v>572403.38123783446</v>
      </c>
      <c r="I13" s="10">
        <f t="shared" si="3"/>
        <v>220686.28248302086</v>
      </c>
      <c r="J13" s="10">
        <f t="shared" si="1"/>
        <v>-94269.87274890655</v>
      </c>
      <c r="K13" s="61">
        <f>ROUND(MAX(K3:K12),2)</f>
        <v>0</v>
      </c>
    </row>
    <row r="14" spans="1:11" x14ac:dyDescent="0.2">
      <c r="A14" s="15">
        <v>9</v>
      </c>
      <c r="B14" s="126">
        <f>C14-'Fluxo de caixa'!B12+$B$4</f>
        <v>10523.513528184179</v>
      </c>
      <c r="C14" s="126">
        <f>'Fluxo de caixa'!N11</f>
        <v>60268.968073638767</v>
      </c>
      <c r="D14" s="126">
        <f>C14-'Fluxo de caixa'!B12+$D$4</f>
        <v>100065.33171000236</v>
      </c>
    </row>
    <row r="15" spans="1:11" x14ac:dyDescent="0.2">
      <c r="A15" s="15">
        <v>10</v>
      </c>
      <c r="B15" s="126">
        <f>C15-'Fluxo de caixa'!B13+$B$4</f>
        <v>572403.38123783446</v>
      </c>
      <c r="C15" s="126">
        <f>'Fluxo de caixa'!N12</f>
        <v>323676.10851056175</v>
      </c>
      <c r="D15" s="126">
        <f>C15-'Fluxo de caixa'!B13+$D$4</f>
        <v>661945.19941965258</v>
      </c>
      <c r="H15" s="11"/>
      <c r="I15" s="11"/>
      <c r="J15" s="11"/>
      <c r="K15" s="11" t="s">
        <v>66</v>
      </c>
    </row>
    <row r="16" spans="1:11" x14ac:dyDescent="0.2">
      <c r="A16" s="60" t="s">
        <v>97</v>
      </c>
      <c r="B16" s="60">
        <f>NPV('Fluxo de caixa'!$D$18,'An. sensibilidade'!B6:B15)+'An. sensibilidade'!B5</f>
        <v>-94269.87274890652</v>
      </c>
      <c r="C16" s="60">
        <f>NPV('Fluxo de caixa'!$D$18,'An. sensibilidade'!C6:C15)+'An. sensibilidade'!C5</f>
        <v>96320.25383169041</v>
      </c>
      <c r="D16" s="60">
        <f>NPV('Fluxo de caixa'!$D$18,'An. sensibilidade'!D6:D15)+'An. sensibilidade'!D5</f>
        <v>455925.83783608268</v>
      </c>
      <c r="H16" s="12" t="s">
        <v>56</v>
      </c>
      <c r="I16" s="12" t="s">
        <v>64</v>
      </c>
      <c r="J16" s="12" t="s">
        <v>65</v>
      </c>
      <c r="K16" s="12" t="s">
        <v>67</v>
      </c>
    </row>
    <row r="17" spans="1:11" x14ac:dyDescent="0.2">
      <c r="A17" s="58" t="s">
        <v>98</v>
      </c>
      <c r="B17" s="128">
        <f>IRR(B5:B15,0.1)</f>
        <v>6.3613460447351722E-2</v>
      </c>
      <c r="C17" s="128">
        <f>IRR(C5:C15,0.1)</f>
        <v>0.14810762753451834</v>
      </c>
      <c r="D17" s="128">
        <f>IRR(D5:D15,0.1)</f>
        <v>0.29262143101999927</v>
      </c>
      <c r="G17">
        <v>0</v>
      </c>
      <c r="H17" s="10">
        <f t="shared" ref="H17:H27" si="4">C5</f>
        <v>-263407.14043692301</v>
      </c>
      <c r="I17" s="10">
        <f>H17</f>
        <v>-263407.14043692301</v>
      </c>
      <c r="J17" s="10">
        <f>I17</f>
        <v>-263407.14043692301</v>
      </c>
      <c r="K17" s="10" t="str">
        <f>IF(SIGN(J17)&lt;&gt;SIGN(J18),ABS(J17)/(J17-J18)+G17,"")</f>
        <v/>
      </c>
    </row>
    <row r="18" spans="1:11" x14ac:dyDescent="0.2">
      <c r="A18" s="59" t="s">
        <v>99</v>
      </c>
      <c r="B18" s="62">
        <f>K13</f>
        <v>0</v>
      </c>
      <c r="C18" s="62">
        <f>K27</f>
        <v>9.23</v>
      </c>
      <c r="D18" s="62">
        <f>K41</f>
        <v>4.9400000000000004</v>
      </c>
      <c r="G18">
        <v>1</v>
      </c>
      <c r="H18" s="10">
        <f t="shared" si="4"/>
        <v>-63100.629744543068</v>
      </c>
      <c r="I18" s="10">
        <f>H18/(1+$E$2)^G18</f>
        <v>-57364.208858675513</v>
      </c>
      <c r="J18" s="10">
        <f t="shared" ref="J18:J27" si="5">J17+I18</f>
        <v>-320771.34929559851</v>
      </c>
      <c r="K18" s="10" t="str">
        <f t="shared" ref="K18:K26" si="6">IF(J18=0," ",IF(SIGN(J18)&lt;&gt;SIGN(J19),ABS(J18)/(J19-J18)+G18," "))</f>
        <v xml:space="preserve"> </v>
      </c>
    </row>
    <row r="19" spans="1:11" x14ac:dyDescent="0.2">
      <c r="G19">
        <v>2</v>
      </c>
      <c r="H19" s="10">
        <f t="shared" si="4"/>
        <v>60268.968073638767</v>
      </c>
      <c r="I19" s="10">
        <f t="shared" ref="I19:I27" si="7">H19/(1+$E$2)^G19</f>
        <v>49809.064523668392</v>
      </c>
      <c r="J19" s="10">
        <f t="shared" si="5"/>
        <v>-270962.28477193014</v>
      </c>
      <c r="K19" s="10" t="str">
        <f t="shared" si="6"/>
        <v xml:space="preserve"> </v>
      </c>
    </row>
    <row r="20" spans="1:11" x14ac:dyDescent="0.2">
      <c r="G20">
        <v>3</v>
      </c>
      <c r="H20" s="10">
        <f t="shared" si="4"/>
        <v>60268.968073638767</v>
      </c>
      <c r="I20" s="10">
        <f t="shared" si="7"/>
        <v>45280.967748789444</v>
      </c>
      <c r="J20" s="10">
        <f t="shared" si="5"/>
        <v>-225681.3170231407</v>
      </c>
      <c r="K20" s="10" t="str">
        <f t="shared" si="6"/>
        <v xml:space="preserve"> </v>
      </c>
    </row>
    <row r="21" spans="1:11" x14ac:dyDescent="0.2">
      <c r="G21">
        <v>4</v>
      </c>
      <c r="H21" s="10">
        <f t="shared" si="4"/>
        <v>60268.968073638767</v>
      </c>
      <c r="I21" s="10">
        <f t="shared" si="7"/>
        <v>41164.516135263133</v>
      </c>
      <c r="J21" s="10">
        <f t="shared" si="5"/>
        <v>-184516.80088787756</v>
      </c>
      <c r="K21" s="10" t="str">
        <f t="shared" si="6"/>
        <v xml:space="preserve"> </v>
      </c>
    </row>
    <row r="22" spans="1:11" x14ac:dyDescent="0.2">
      <c r="G22">
        <v>5</v>
      </c>
      <c r="H22" s="10">
        <f t="shared" si="4"/>
        <v>60268.968073638767</v>
      </c>
      <c r="I22" s="10">
        <f t="shared" si="7"/>
        <v>37422.287395693755</v>
      </c>
      <c r="J22" s="10">
        <f t="shared" si="5"/>
        <v>-147094.51349218382</v>
      </c>
      <c r="K22" s="10" t="str">
        <f t="shared" si="6"/>
        <v xml:space="preserve"> </v>
      </c>
    </row>
    <row r="23" spans="1:11" x14ac:dyDescent="0.2">
      <c r="G23">
        <v>6</v>
      </c>
      <c r="H23" s="10">
        <f t="shared" si="4"/>
        <v>60268.968073638767</v>
      </c>
      <c r="I23" s="10">
        <f t="shared" si="7"/>
        <v>34020.261268812501</v>
      </c>
      <c r="J23" s="10">
        <f t="shared" si="5"/>
        <v>-113074.25222337132</v>
      </c>
      <c r="K23" s="10" t="str">
        <f t="shared" si="6"/>
        <v xml:space="preserve"> </v>
      </c>
    </row>
    <row r="24" spans="1:11" x14ac:dyDescent="0.2">
      <c r="G24">
        <v>7</v>
      </c>
      <c r="H24" s="10">
        <f t="shared" si="4"/>
        <v>60268.968073638767</v>
      </c>
      <c r="I24" s="10">
        <f t="shared" si="7"/>
        <v>30927.510244374993</v>
      </c>
      <c r="J24" s="10">
        <f t="shared" si="5"/>
        <v>-82146.741978996331</v>
      </c>
      <c r="K24" s="10" t="str">
        <f t="shared" si="6"/>
        <v xml:space="preserve"> </v>
      </c>
    </row>
    <row r="25" spans="1:11" x14ac:dyDescent="0.2">
      <c r="G25">
        <v>8</v>
      </c>
      <c r="H25" s="10">
        <f t="shared" si="4"/>
        <v>60268.968073638767</v>
      </c>
      <c r="I25" s="10">
        <f t="shared" si="7"/>
        <v>28115.91840397727</v>
      </c>
      <c r="J25" s="10">
        <f t="shared" si="5"/>
        <v>-54030.823575019065</v>
      </c>
      <c r="K25" s="10" t="str">
        <f t="shared" si="6"/>
        <v xml:space="preserve"> </v>
      </c>
    </row>
    <row r="26" spans="1:11" x14ac:dyDescent="0.2">
      <c r="G26">
        <v>9</v>
      </c>
      <c r="H26" s="10">
        <f t="shared" si="4"/>
        <v>60268.968073638767</v>
      </c>
      <c r="I26" s="10">
        <f t="shared" si="7"/>
        <v>25559.925821797515</v>
      </c>
      <c r="J26" s="10">
        <f t="shared" si="5"/>
        <v>-28470.89775322155</v>
      </c>
      <c r="K26" s="10">
        <f t="shared" si="6"/>
        <v>9.2281483694286539</v>
      </c>
    </row>
    <row r="27" spans="1:11" x14ac:dyDescent="0.2">
      <c r="G27">
        <v>10</v>
      </c>
      <c r="H27" s="10">
        <f t="shared" si="4"/>
        <v>323676.10851056175</v>
      </c>
      <c r="I27" s="10">
        <f t="shared" si="7"/>
        <v>124791.15158491195</v>
      </c>
      <c r="J27" s="10">
        <f t="shared" si="5"/>
        <v>96320.253831690396</v>
      </c>
      <c r="K27" s="61">
        <f>ROUND(MAX(K17:K26),2)</f>
        <v>9.23</v>
      </c>
    </row>
    <row r="29" spans="1:11" x14ac:dyDescent="0.2">
      <c r="H29" s="11"/>
      <c r="I29" s="11"/>
      <c r="J29" s="11"/>
      <c r="K29" s="11" t="s">
        <v>66</v>
      </c>
    </row>
    <row r="30" spans="1:11" x14ac:dyDescent="0.2">
      <c r="H30" s="12" t="s">
        <v>56</v>
      </c>
      <c r="I30" s="12" t="s">
        <v>64</v>
      </c>
      <c r="J30" s="12" t="s">
        <v>65</v>
      </c>
      <c r="K30" s="12" t="s">
        <v>67</v>
      </c>
    </row>
    <row r="31" spans="1:11" x14ac:dyDescent="0.2">
      <c r="G31">
        <v>0</v>
      </c>
      <c r="H31" s="10">
        <f t="shared" ref="H31:H41" si="8">D5</f>
        <v>-263407.14043692301</v>
      </c>
      <c r="I31" s="10">
        <f>H31</f>
        <v>-263407.14043692301</v>
      </c>
      <c r="J31" s="10">
        <f>I31</f>
        <v>-263407.14043692301</v>
      </c>
      <c r="K31" s="10" t="str">
        <f>IF(SIGN(J31)&lt;&gt;SIGN(J32),ABS(J31)/(J31-J32)+G31,"")</f>
        <v/>
      </c>
    </row>
    <row r="32" spans="1:11" x14ac:dyDescent="0.2">
      <c r="G32">
        <v>1</v>
      </c>
      <c r="H32" s="10">
        <f t="shared" si="8"/>
        <v>-23304.266108179465</v>
      </c>
      <c r="I32" s="10">
        <f>H32/(1+$E$2)^G32</f>
        <v>-21185.69646198133</v>
      </c>
      <c r="J32" s="10">
        <f t="shared" ref="J32:J41" si="9">J31+I32</f>
        <v>-284592.83689890435</v>
      </c>
      <c r="K32" s="10" t="str">
        <f t="shared" ref="K32:K40" si="10">IF(J32=0," ",IF(SIGN(J32)&lt;&gt;SIGN(J33),ABS(J32)/(J33-J32)+G32," "))</f>
        <v xml:space="preserve"> </v>
      </c>
    </row>
    <row r="33" spans="7:11" x14ac:dyDescent="0.2">
      <c r="G33">
        <v>2</v>
      </c>
      <c r="H33" s="10">
        <f t="shared" si="8"/>
        <v>100065.33171000236</v>
      </c>
      <c r="I33" s="10">
        <f t="shared" ref="I33:I41" si="11">H33/(1+$E$2)^G33</f>
        <v>82698.621247935822</v>
      </c>
      <c r="J33" s="10">
        <f t="shared" si="9"/>
        <v>-201894.21565096854</v>
      </c>
      <c r="K33" s="10" t="str">
        <f t="shared" si="10"/>
        <v xml:space="preserve"> </v>
      </c>
    </row>
    <row r="34" spans="7:11" x14ac:dyDescent="0.2">
      <c r="G34">
        <v>3</v>
      </c>
      <c r="H34" s="10">
        <f t="shared" si="8"/>
        <v>100065.33171000236</v>
      </c>
      <c r="I34" s="10">
        <f t="shared" si="11"/>
        <v>75180.564770850731</v>
      </c>
      <c r="J34" s="10">
        <f t="shared" si="9"/>
        <v>-126713.65088011781</v>
      </c>
      <c r="K34" s="10" t="str">
        <f t="shared" si="10"/>
        <v xml:space="preserve"> </v>
      </c>
    </row>
    <row r="35" spans="7:11" x14ac:dyDescent="0.2">
      <c r="G35">
        <v>4</v>
      </c>
      <c r="H35" s="10">
        <f t="shared" si="8"/>
        <v>100065.33171000236</v>
      </c>
      <c r="I35" s="10">
        <f t="shared" si="11"/>
        <v>68345.967973500665</v>
      </c>
      <c r="J35" s="10">
        <f t="shared" si="9"/>
        <v>-58367.682906617149</v>
      </c>
      <c r="K35" s="10">
        <f t="shared" si="10"/>
        <v>4.9394036415165328</v>
      </c>
    </row>
    <row r="36" spans="7:11" x14ac:dyDescent="0.2">
      <c r="G36">
        <v>5</v>
      </c>
      <c r="H36" s="10">
        <f t="shared" si="8"/>
        <v>100065.33171000236</v>
      </c>
      <c r="I36" s="10">
        <f t="shared" si="11"/>
        <v>62132.698157727878</v>
      </c>
      <c r="J36" s="10">
        <f t="shared" si="9"/>
        <v>3765.0152511107299</v>
      </c>
      <c r="K36" s="10" t="str">
        <f t="shared" si="10"/>
        <v xml:space="preserve"> </v>
      </c>
    </row>
    <row r="37" spans="7:11" x14ac:dyDescent="0.2">
      <c r="G37">
        <v>6</v>
      </c>
      <c r="H37" s="10">
        <f t="shared" si="8"/>
        <v>100065.33171000236</v>
      </c>
      <c r="I37" s="10">
        <f t="shared" si="11"/>
        <v>56484.271052479882</v>
      </c>
      <c r="J37" s="10">
        <f t="shared" si="9"/>
        <v>60249.286303590612</v>
      </c>
      <c r="K37" s="10" t="str">
        <f t="shared" si="10"/>
        <v xml:space="preserve"> </v>
      </c>
    </row>
    <row r="38" spans="7:11" x14ac:dyDescent="0.2">
      <c r="G38">
        <v>7</v>
      </c>
      <c r="H38" s="10">
        <f t="shared" si="8"/>
        <v>100065.33171000236</v>
      </c>
      <c r="I38" s="10">
        <f t="shared" si="11"/>
        <v>51349.337320436251</v>
      </c>
      <c r="J38" s="10">
        <f t="shared" si="9"/>
        <v>111598.62362402686</v>
      </c>
      <c r="K38" s="10" t="str">
        <f t="shared" si="10"/>
        <v xml:space="preserve"> </v>
      </c>
    </row>
    <row r="39" spans="7:11" x14ac:dyDescent="0.2">
      <c r="G39">
        <v>8</v>
      </c>
      <c r="H39" s="10">
        <f t="shared" si="8"/>
        <v>100065.33171000236</v>
      </c>
      <c r="I39" s="10">
        <f t="shared" si="11"/>
        <v>46681.215745851136</v>
      </c>
      <c r="J39" s="10">
        <f t="shared" si="9"/>
        <v>158279.839369878</v>
      </c>
      <c r="K39" s="10" t="str">
        <f t="shared" si="10"/>
        <v xml:space="preserve"> </v>
      </c>
    </row>
    <row r="40" spans="7:11" x14ac:dyDescent="0.2">
      <c r="G40">
        <v>9</v>
      </c>
      <c r="H40" s="10">
        <f t="shared" si="8"/>
        <v>100065.33171000236</v>
      </c>
      <c r="I40" s="10">
        <f t="shared" si="11"/>
        <v>42437.468859864668</v>
      </c>
      <c r="J40" s="10">
        <f t="shared" si="9"/>
        <v>200717.30822974266</v>
      </c>
      <c r="K40" s="10" t="str">
        <f t="shared" si="10"/>
        <v xml:space="preserve"> </v>
      </c>
    </row>
    <row r="41" spans="7:11" x14ac:dyDescent="0.2">
      <c r="G41">
        <v>10</v>
      </c>
      <c r="H41" s="10">
        <f t="shared" si="8"/>
        <v>661945.19941965258</v>
      </c>
      <c r="I41" s="10">
        <f t="shared" si="11"/>
        <v>255208.52960634005</v>
      </c>
      <c r="J41" s="10">
        <f t="shared" si="9"/>
        <v>455925.83783608268</v>
      </c>
      <c r="K41" s="61">
        <f>ROUND(MAX(K31:K40),2)</f>
        <v>4.9400000000000004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ignoredErrors>
    <ignoredError sqref="C6:C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Volume de terra</vt:lpstr>
      <vt:lpstr>Investimento físico</vt:lpstr>
      <vt:lpstr>Planejamento</vt:lpstr>
      <vt:lpstr>Custos e receitas</vt:lpstr>
      <vt:lpstr>Fluxo de caixa</vt:lpstr>
      <vt:lpstr>An. sensibilidade</vt:lpstr>
    </vt:vector>
  </TitlesOfParts>
  <Company>Ituassu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Rabello Ituassú</dc:creator>
  <cp:lastModifiedBy>rev01</cp:lastModifiedBy>
  <cp:lastPrinted>2005-06-25T22:03:45Z</cp:lastPrinted>
  <dcterms:created xsi:type="dcterms:W3CDTF">2005-06-16T00:15:31Z</dcterms:created>
  <dcterms:modified xsi:type="dcterms:W3CDTF">2018-10-26T11:34:46Z</dcterms:modified>
</cp:coreProperties>
</file>